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72.20.7.20\disk\05 課：運営指導班\05 処遇改善\R6年度\様式等\"/>
    </mc:Choice>
  </mc:AlternateContent>
  <bookViews>
    <workbookView xWindow="28680" yWindow="-120" windowWidth="29040" windowHeight="1584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5" i="18" l="1"/>
  <c r="AK206" i="18"/>
  <c r="AB131" i="18"/>
  <c r="AB129" i="18"/>
  <c r="T60" i="18"/>
  <c r="T67" i="38"/>
  <c r="AW63" i="38"/>
  <c r="AW62" i="38"/>
  <c r="AW61" i="38"/>
  <c r="AK56" i="38"/>
  <c r="AC56" i="38"/>
  <c r="H53" i="38"/>
  <c r="L49" i="38"/>
  <c r="L50" i="38" s="1"/>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49" i="37"/>
  <c r="L50" i="37" s="1"/>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49" i="36"/>
  <c r="L50" i="36" s="1"/>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49" i="35"/>
  <c r="L50" i="35" s="1"/>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49" i="34"/>
  <c r="L50" i="34" s="1"/>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AW48" i="35"/>
  <c r="BE48" i="35" s="1"/>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W48" i="38" s="1"/>
  <c r="AH61" i="38"/>
  <c r="Q49" i="37"/>
  <c r="BA51" i="35"/>
  <c r="Q51" i="35"/>
  <c r="AW48" i="34" l="1"/>
  <c r="BE48" i="34" s="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AW48" i="37"/>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AW48" i="36"/>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AC51" i="36"/>
  <c r="AC52" i="36" s="1"/>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BE51" i="37" l="1"/>
  <c r="AC51" i="37"/>
  <c r="AC52" i="37" s="1"/>
  <c r="G51" i="34"/>
  <c r="G52" i="34" s="1"/>
  <c r="AS51" i="34"/>
  <c r="BI51" i="34" s="1"/>
  <c r="V50" i="34"/>
  <c r="G51" i="37"/>
  <c r="G52" i="37" s="1"/>
  <c r="AS51" i="37"/>
  <c r="BI51" i="37" s="1"/>
  <c r="G51" i="36"/>
  <c r="G52" i="36" s="1"/>
  <c r="AS51" i="36"/>
  <c r="BI51" i="36" s="1"/>
  <c r="V50" i="36"/>
  <c r="G52" i="35"/>
  <c r="V51" i="35"/>
  <c r="V52" i="35" s="1"/>
  <c r="V50" i="38"/>
  <c r="G51" i="38"/>
  <c r="AS51" i="38"/>
  <c r="BI51" i="38" s="1"/>
  <c r="Q52" i="37"/>
  <c r="Q52" i="36"/>
  <c r="Q52" i="34"/>
  <c r="V51" i="34"/>
  <c r="V52" i="34" s="1"/>
  <c r="V51" i="36" l="1"/>
  <c r="V52" i="36" s="1"/>
  <c r="V51" i="37"/>
  <c r="V52" i="37" s="1"/>
  <c r="G52" i="38"/>
  <c r="V51" i="38"/>
  <c r="V52" i="38" s="1"/>
  <c r="T67" i="29" l="1"/>
  <c r="AW63" i="29"/>
  <c r="AW62" i="29"/>
  <c r="AW61" i="29"/>
  <c r="AD53" i="29"/>
  <c r="H53" i="29"/>
  <c r="BN51" i="29"/>
  <c r="L49" i="29"/>
  <c r="L50" i="29" s="1"/>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48" i="29"/>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48" i="28" l="1"/>
  <c r="AW60" i="28"/>
  <c r="AS60" i="28"/>
  <c r="AS32" i="28" s="1"/>
  <c r="CI3" i="28"/>
  <c r="Q50" i="28"/>
  <c r="BV51" i="28"/>
  <c r="CI6" i="28"/>
  <c r="L49" i="28"/>
  <c r="L50" i="28" s="1"/>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49" i="21"/>
  <c r="L50" i="21" s="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W48" i="20"/>
  <c r="AP57" i="21"/>
  <c r="BA48" i="21" s="1"/>
  <c r="AH57" i="21"/>
  <c r="Q49" i="21" s="1"/>
  <c r="AP62" i="21"/>
  <c r="CI8" i="21" s="1"/>
  <c r="AH62" i="21"/>
  <c r="AS48" i="20"/>
  <c r="L49" i="20"/>
  <c r="L50" i="20" s="1"/>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AW48" i="21"/>
  <c r="BE48" i="21" s="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L49" i="12"/>
  <c r="CI7" i="12"/>
  <c r="S143" i="18" s="1"/>
  <c r="AW48" i="12"/>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Q18" i="18" s="1"/>
  <c r="AW51" i="12"/>
  <c r="AC51" i="12"/>
  <c r="BE51" i="12"/>
  <c r="AM129" i="18"/>
  <c r="AK134" i="18" s="1"/>
  <c r="AK225" i="18" s="1"/>
  <c r="V50" i="12"/>
  <c r="S118" i="18" l="1"/>
  <c r="L52" i="12"/>
  <c r="T106" i="18"/>
  <c r="AK114" i="18" s="1"/>
  <c r="G52" i="12"/>
  <c r="V52" i="12"/>
  <c r="BI51" i="12"/>
  <c r="Q19" i="18" l="1"/>
  <c r="Q25" i="18" s="1"/>
  <c r="Y25" i="18" s="1"/>
  <c r="AK212" i="18" s="1"/>
  <c r="AK125" i="18"/>
  <c r="AK224" i="18" s="1"/>
  <c r="AK222" i="18"/>
  <c r="Q21" i="18"/>
  <c r="Y20" i="18"/>
  <c r="AK210" i="18" s="1"/>
  <c r="AC52" i="12"/>
  <c r="Y21" i="18" l="1"/>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<sst xmlns="http://schemas.openxmlformats.org/spreadsheetml/2006/main" count="6514" uniqueCount="2397">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</sst>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6">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23" fillId="2" borderId="0" xfId="0" applyFont="1" applyFill="1" applyBorder="1" applyAlignment="1" applyProtection="1">
      <alignment horizontal="center" vertical="center"/>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5"/>
              <a:ext cx="304800" cy="714375"/>
              <a:chOff x="4470327" y="4496266"/>
              <a:chExt cx="301792" cy="780087"/>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7"/>
              <a:ext cx="304806" cy="695326"/>
              <a:chOff x="4540192" y="5456621"/>
              <a:chExt cx="308373" cy="759872"/>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5"/>
              <a:ext cx="304800" cy="371470"/>
              <a:chOff x="5753695" y="8927972"/>
              <a:chExt cx="301792" cy="494757"/>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5"/>
              <a:ext cx="304806" cy="685800"/>
              <a:chOff x="4540192" y="6438955"/>
              <a:chExt cx="308373" cy="779249"/>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39130"/>
              <a:ext cx="228603" cy="695325"/>
              <a:chOff x="5754620" y="8167924"/>
              <a:chExt cx="225534" cy="793293"/>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5000"/>
              <a:ext cx="30480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29"/>
              <a:ext cx="228601" cy="704947"/>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29599"/>
              <a:ext cx="200025" cy="742956"/>
              <a:chOff x="4529949" y="8163153"/>
              <a:chExt cx="208417" cy="747989"/>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391393"/>
              <a:ext cx="304806" cy="714379"/>
              <a:chOff x="5801280" y="7286480"/>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50"/>
              <a:ext cx="30480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5"/>
              <a:ext cx="304800" cy="714375"/>
              <a:chOff x="4470327" y="4496266"/>
              <a:chExt cx="301792" cy="780087"/>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7"/>
              <a:ext cx="304806" cy="695326"/>
              <a:chOff x="4540192" y="5456621"/>
              <a:chExt cx="308373" cy="759872"/>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5"/>
              <a:ext cx="304800" cy="371470"/>
              <a:chOff x="5753695" y="8927972"/>
              <a:chExt cx="301792" cy="494757"/>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5"/>
              <a:ext cx="304806" cy="685800"/>
              <a:chOff x="4540192" y="6438955"/>
              <a:chExt cx="308373" cy="779249"/>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39130"/>
              <a:ext cx="228603" cy="695325"/>
              <a:chOff x="5754620" y="8167924"/>
              <a:chExt cx="225534" cy="793293"/>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5000"/>
              <a:ext cx="30480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29"/>
              <a:ext cx="228601" cy="704947"/>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29599"/>
              <a:ext cx="200025" cy="742956"/>
              <a:chOff x="4529949" y="8163153"/>
              <a:chExt cx="208417" cy="747989"/>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391393"/>
              <a:ext cx="304806" cy="714379"/>
              <a:chOff x="5801280" y="7286480"/>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50"/>
              <a:ext cx="30480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4"/>
              <a:chExt cx="303832" cy="486920"/>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60"/>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6"/>
              <a:chExt cx="308371" cy="76287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8"/>
              <a:chExt cx="301792" cy="49478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5"/>
              <a:chExt cx="308371" cy="77927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6" y="8168756"/>
              <a:chExt cx="217599"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2" y="8166026"/>
              <a:chExt cx="208649" cy="74978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4"/>
              <a:chExt cx="303832" cy="486920"/>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60"/>
              <a:chExt cx="301792" cy="78010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6"/>
              <a:chExt cx="308371" cy="762873"/>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8"/>
              <a:chExt cx="301792" cy="494780"/>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5"/>
              <a:chExt cx="308371" cy="779272"/>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06" y="8168756"/>
              <a:chExt cx="217599"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2" y="8166026"/>
              <a:chExt cx="208649" cy="749788"/>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0"/>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50"/>
              <a:chOff x="4501773" y="3772534"/>
              <a:chExt cx="303832" cy="486920"/>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5"/>
              <a:ext cx="304800" cy="714375"/>
              <a:chOff x="4479758" y="4496260"/>
              <a:chExt cx="301792" cy="780101"/>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8"/>
              <a:ext cx="304800" cy="698090"/>
              <a:chOff x="4549825" y="5456616"/>
              <a:chExt cx="308371" cy="762873"/>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7"/>
              <a:ext cx="304800" cy="371475"/>
              <a:chOff x="5763126" y="8931908"/>
              <a:chExt cx="301792" cy="494780"/>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5"/>
              <a:chExt cx="308371" cy="779272"/>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77950"/>
              <a:ext cx="220577" cy="694590"/>
              <a:chOff x="5767606" y="8168756"/>
              <a:chExt cx="217599" cy="79243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0"/>
              <a:ext cx="30480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701"/>
              <a:ext cx="232948" cy="707094"/>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70577"/>
              <a:ext cx="200248" cy="744722"/>
              <a:chOff x="4538982" y="8166026"/>
              <a:chExt cx="208649" cy="749788"/>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0"/>
              <a:ext cx="304802" cy="710980"/>
              <a:chOff x="5809589" y="7290610"/>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50"/>
              <a:ext cx="30480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5"/>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4"/>
              <a:chExt cx="303832" cy="486920"/>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60"/>
              <a:chExt cx="301792" cy="78010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6"/>
              <a:chExt cx="308371" cy="762873"/>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8"/>
              <a:chExt cx="301792" cy="494780"/>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5"/>
              <a:chExt cx="308371" cy="779272"/>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06" y="8168756"/>
              <a:chExt cx="217599"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2" y="8166026"/>
              <a:chExt cx="208649" cy="749788"/>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0"/>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66"/>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1"/>
              <a:chExt cx="308373" cy="759872"/>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72"/>
              <a:chExt cx="301792" cy="494757"/>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5"/>
              <a:chExt cx="308373" cy="779249"/>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20" y="8167924"/>
              <a:chExt cx="225534"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49" y="8163153"/>
              <a:chExt cx="208417" cy="747989"/>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80" y="7286480"/>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5"/>
              <a:ext cx="304800" cy="714375"/>
              <a:chOff x="4470327" y="4496266"/>
              <a:chExt cx="301792" cy="780087"/>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7"/>
              <a:ext cx="304806" cy="695326"/>
              <a:chOff x="4540192" y="5456621"/>
              <a:chExt cx="308373" cy="759872"/>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5"/>
              <a:ext cx="304800" cy="371470"/>
              <a:chOff x="5753695" y="8927972"/>
              <a:chExt cx="301792" cy="494757"/>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5"/>
              <a:ext cx="304806" cy="685800"/>
              <a:chOff x="4540192" y="6438955"/>
              <a:chExt cx="308373" cy="779249"/>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39130"/>
              <a:ext cx="228603" cy="695325"/>
              <a:chOff x="5754620" y="8167924"/>
              <a:chExt cx="225534" cy="793293"/>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5000"/>
              <a:ext cx="30480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29"/>
              <a:ext cx="228601" cy="704947"/>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29599"/>
              <a:ext cx="200025" cy="742956"/>
              <a:chOff x="4529949" y="8163153"/>
              <a:chExt cx="208417" cy="747989"/>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391393"/>
              <a:ext cx="304806" cy="714379"/>
              <a:chOff x="5801280" y="7286480"/>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50"/>
              <a:ext cx="30480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5"/>
              <a:ext cx="304800" cy="714375"/>
              <a:chOff x="4470327" y="4496266"/>
              <a:chExt cx="301792" cy="780087"/>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7"/>
              <a:ext cx="304806" cy="695326"/>
              <a:chOff x="4540192" y="5456621"/>
              <a:chExt cx="308373" cy="759872"/>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5"/>
              <a:ext cx="304800" cy="371470"/>
              <a:chOff x="5753695" y="8927972"/>
              <a:chExt cx="301792" cy="494757"/>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5"/>
              <a:ext cx="304806" cy="685800"/>
              <a:chOff x="4540192" y="6438955"/>
              <a:chExt cx="308373" cy="779249"/>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39130"/>
              <a:ext cx="228603" cy="695325"/>
              <a:chOff x="5754620" y="8167924"/>
              <a:chExt cx="225534" cy="793293"/>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5000"/>
              <a:ext cx="30480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29"/>
              <a:ext cx="228601" cy="704947"/>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29599"/>
              <a:ext cx="200025" cy="742956"/>
              <a:chOff x="4529949" y="8163153"/>
              <a:chExt cx="208417" cy="747989"/>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391393"/>
              <a:ext cx="304806" cy="714379"/>
              <a:chOff x="5801280" y="7286480"/>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50"/>
              <a:ext cx="30480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5"/>
              <a:ext cx="304800" cy="714375"/>
              <a:chOff x="4470327" y="4496266"/>
              <a:chExt cx="301792" cy="780087"/>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7"/>
              <a:ext cx="304806" cy="695326"/>
              <a:chOff x="4540192" y="5456621"/>
              <a:chExt cx="308373" cy="759872"/>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5"/>
              <a:ext cx="304800" cy="371470"/>
              <a:chOff x="5753695" y="8927972"/>
              <a:chExt cx="301792" cy="494757"/>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5"/>
              <a:ext cx="304806" cy="685800"/>
              <a:chOff x="4540192" y="6438955"/>
              <a:chExt cx="308373" cy="779249"/>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39130"/>
              <a:ext cx="228603" cy="695325"/>
              <a:chOff x="5754620" y="8167924"/>
              <a:chExt cx="225534" cy="793293"/>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5000"/>
              <a:ext cx="30480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29"/>
              <a:ext cx="228601" cy="704947"/>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29599"/>
              <a:ext cx="200025" cy="742956"/>
              <a:chOff x="4529949" y="8163153"/>
              <a:chExt cx="208417" cy="747989"/>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391393"/>
              <a:ext cx="304806" cy="714379"/>
              <a:chOff x="5801280" y="7286480"/>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50"/>
              <a:ext cx="30480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250"/>
  <sheetViews>
    <sheetView tabSelected="1" view="pageBreakPreview" zoomScaleNormal="120" zoomScaleSheetLayoutView="100" zoomScalePageLayoutView="64" workbookViewId="0">
      <selection activeCell="H9" sqref="H9:AK9"/>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t="s">
        <v>2334</v>
      </c>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2205</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t="s">
        <v>2335</v>
      </c>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t="s">
        <v>2335</v>
      </c>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2019</v>
      </c>
      <c r="C8" s="576"/>
      <c r="D8" s="576"/>
      <c r="E8" s="576"/>
      <c r="F8" s="576"/>
      <c r="G8" s="577"/>
      <c r="H8" s="166" t="s">
        <v>2183</v>
      </c>
      <c r="I8" s="973">
        <v>100</v>
      </c>
      <c r="J8" s="973"/>
      <c r="K8" s="167" t="s">
        <v>2185</v>
      </c>
      <c r="L8" s="973">
        <v>1234</v>
      </c>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t="s">
        <v>2336</v>
      </c>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t="s">
        <v>2337</v>
      </c>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t="s">
        <v>2338</v>
      </c>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2020</v>
      </c>
      <c r="C12" s="563"/>
      <c r="D12" s="563"/>
      <c r="E12" s="563"/>
      <c r="F12" s="563"/>
      <c r="G12" s="564"/>
      <c r="H12" s="565" t="s">
        <v>2339</v>
      </c>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2021</v>
      </c>
      <c r="C13" s="567"/>
      <c r="D13" s="567"/>
      <c r="E13" s="567"/>
      <c r="F13" s="567"/>
      <c r="G13" s="567"/>
      <c r="H13" s="568" t="s">
        <v>24</v>
      </c>
      <c r="I13" s="567"/>
      <c r="J13" s="567"/>
      <c r="K13" s="567"/>
      <c r="L13" s="569" t="s">
        <v>2340</v>
      </c>
      <c r="M13" s="570"/>
      <c r="N13" s="570"/>
      <c r="O13" s="570"/>
      <c r="P13" s="570"/>
      <c r="Q13" s="570"/>
      <c r="R13" s="570"/>
      <c r="S13" s="570"/>
      <c r="T13" s="570"/>
      <c r="U13" s="571"/>
      <c r="V13" s="572" t="s">
        <v>2184</v>
      </c>
      <c r="W13" s="573"/>
      <c r="X13" s="573"/>
      <c r="Y13" s="568"/>
      <c r="Z13" s="574" t="s">
        <v>2341</v>
      </c>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8366100</v>
      </c>
      <c r="R18" s="980"/>
      <c r="S18" s="980"/>
      <c r="T18" s="980"/>
      <c r="U18" s="980"/>
      <c r="V18" s="98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3977100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v>1200000</v>
      </c>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2074</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2075</v>
      </c>
      <c r="D21" s="978"/>
      <c r="E21" s="978"/>
      <c r="F21" s="978"/>
      <c r="G21" s="978"/>
      <c r="H21" s="978"/>
      <c r="I21" s="978"/>
      <c r="J21" s="978"/>
      <c r="K21" s="978"/>
      <c r="L21" s="978"/>
      <c r="M21" s="978"/>
      <c r="N21" s="978"/>
      <c r="O21" s="978"/>
      <c r="P21" s="978"/>
      <c r="Q21" s="979">
        <f>Q18-Q20</f>
        <v>7166100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2147</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v>8100000</v>
      </c>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2076</v>
      </c>
      <c r="D25" s="589"/>
      <c r="E25" s="589"/>
      <c r="F25" s="589"/>
      <c r="G25" s="589"/>
      <c r="H25" s="589"/>
      <c r="I25" s="589"/>
      <c r="J25" s="589"/>
      <c r="K25" s="589"/>
      <c r="L25" s="589"/>
      <c r="M25" s="589"/>
      <c r="N25" s="589"/>
      <c r="O25" s="589"/>
      <c r="P25" s="590"/>
      <c r="Q25" s="591">
        <f>Q19-Q20</f>
        <v>2777100</v>
      </c>
      <c r="R25" s="592"/>
      <c r="S25" s="592"/>
      <c r="T25" s="592"/>
      <c r="U25" s="592"/>
      <c r="V25" s="592"/>
      <c r="W25" s="176" t="s">
        <v>31</v>
      </c>
      <c r="X25" s="72" t="s">
        <v>38</v>
      </c>
      <c r="Y25" s="556" t="str">
        <f>IFERROR(IF(Q25&lt;=0,"",IF(Q26&gt;=Q25,"○","△")),"")</f>
        <v>△</v>
      </c>
      <c r="Z25" s="72" t="s">
        <v>38</v>
      </c>
      <c r="AA25" s="593" t="str">
        <f>IFERROR(IF(Y25="△",IF(Q28&gt;=Q25,"○","△"),""),"")</f>
        <v>○</v>
      </c>
      <c r="AB25" s="155"/>
      <c r="AC25" s="155"/>
      <c r="AD25" s="155"/>
      <c r="AE25" s="155"/>
      <c r="AF25" s="155"/>
      <c r="AG25" s="155"/>
      <c r="AH25" s="155"/>
      <c r="AI25" s="155"/>
      <c r="AJ25" s="155"/>
      <c r="AK25" s="155"/>
      <c r="AL25" s="155"/>
    </row>
    <row r="26" spans="1:55" ht="37.5" customHeight="1" thickBot="1">
      <c r="A26" s="155"/>
      <c r="B26" s="184" t="s">
        <v>44</v>
      </c>
      <c r="C26" s="589" t="s">
        <v>2148</v>
      </c>
      <c r="D26" s="589"/>
      <c r="E26" s="589"/>
      <c r="F26" s="589"/>
      <c r="G26" s="589"/>
      <c r="H26" s="589"/>
      <c r="I26" s="589"/>
      <c r="J26" s="589"/>
      <c r="K26" s="589"/>
      <c r="L26" s="589"/>
      <c r="M26" s="589"/>
      <c r="N26" s="589"/>
      <c r="O26" s="589"/>
      <c r="P26" s="590"/>
      <c r="Q26" s="596">
        <v>2300000</v>
      </c>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2077</v>
      </c>
      <c r="D27" s="589"/>
      <c r="E27" s="589"/>
      <c r="F27" s="589"/>
      <c r="G27" s="589"/>
      <c r="H27" s="589"/>
      <c r="I27" s="589"/>
      <c r="J27" s="589"/>
      <c r="K27" s="589"/>
      <c r="L27" s="589"/>
      <c r="M27" s="589"/>
      <c r="N27" s="589"/>
      <c r="O27" s="589"/>
      <c r="P27" s="590"/>
      <c r="Q27" s="596">
        <v>600000</v>
      </c>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2149</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2078</v>
      </c>
      <c r="D28" s="589"/>
      <c r="E28" s="589"/>
      <c r="F28" s="589"/>
      <c r="G28" s="589"/>
      <c r="H28" s="589"/>
      <c r="I28" s="589"/>
      <c r="J28" s="589"/>
      <c r="K28" s="589"/>
      <c r="L28" s="589"/>
      <c r="M28" s="589"/>
      <c r="N28" s="589"/>
      <c r="O28" s="589"/>
      <c r="P28" s="590"/>
      <c r="Q28" s="614">
        <f>Q26+Q27</f>
        <v>2900000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2195</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2206</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2207</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2208</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2079</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2150</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v>6</v>
      </c>
      <c r="R43" s="632"/>
      <c r="S43" s="196" t="s">
        <v>53</v>
      </c>
      <c r="T43" s="633">
        <v>6</v>
      </c>
      <c r="U43" s="634"/>
      <c r="V43" s="197" t="s">
        <v>54</v>
      </c>
      <c r="W43" s="635" t="s">
        <v>55</v>
      </c>
      <c r="X43" s="635"/>
      <c r="Y43" s="635" t="s">
        <v>52</v>
      </c>
      <c r="Z43" s="636"/>
      <c r="AA43" s="633">
        <v>7</v>
      </c>
      <c r="AB43" s="634"/>
      <c r="AC43" s="198" t="s">
        <v>53</v>
      </c>
      <c r="AD43" s="633">
        <v>5</v>
      </c>
      <c r="AE43" s="634"/>
      <c r="AF43" s="197" t="s">
        <v>54</v>
      </c>
      <c r="AG43" s="197" t="s">
        <v>56</v>
      </c>
      <c r="AH43" s="197">
        <f>IF(Q43&gt;=1,(AA43*12+AD43)-(Q43*12+T43)+1,"")</f>
        <v>12</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2010</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2010</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t="s">
        <v>2342</v>
      </c>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2082</v>
      </c>
      <c r="AR49" s="69" t="b">
        <v>0</v>
      </c>
      <c r="AS49" s="637" t="s">
        <v>2080</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2083</v>
      </c>
      <c r="AO50" s="637"/>
      <c r="AP50" s="637"/>
      <c r="AR50" s="69" t="b">
        <v>1</v>
      </c>
      <c r="AS50" s="637" t="s">
        <v>2081</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1</v>
      </c>
      <c r="AN52" s="637" t="s">
        <v>62</v>
      </c>
      <c r="AO52" s="637"/>
      <c r="AP52" s="637"/>
      <c r="AR52" s="69" t="b">
        <v>1</v>
      </c>
      <c r="AS52" s="637" t="s">
        <v>2084</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637" t="s">
        <v>63</v>
      </c>
      <c r="AO53" s="637"/>
      <c r="AP53" s="637"/>
      <c r="AQ53" s="157"/>
      <c r="AR53" s="69" t="b">
        <v>0</v>
      </c>
      <c r="AS53" s="637" t="s">
        <v>77</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t="s">
        <v>73</v>
      </c>
      <c r="N54" s="673"/>
      <c r="O54" s="673"/>
      <c r="P54" s="673">
        <v>30</v>
      </c>
      <c r="Q54" s="673"/>
      <c r="R54" s="214" t="s">
        <v>74</v>
      </c>
      <c r="S54" s="673">
        <v>4</v>
      </c>
      <c r="T54" s="673"/>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637" t="s">
        <v>64</v>
      </c>
      <c r="AO54" s="637"/>
      <c r="AP54" s="637"/>
      <c r="AR54" s="69" t="b">
        <v>1</v>
      </c>
      <c r="AS54" s="637" t="s">
        <v>2085</v>
      </c>
      <c r="AT54" s="637"/>
    </row>
    <row r="55" spans="1:59" ht="24.75" customHeight="1">
      <c r="A55" s="155"/>
      <c r="B55" s="674" t="s">
        <v>78</v>
      </c>
      <c r="C55" s="675"/>
      <c r="D55" s="675"/>
      <c r="E55" s="676"/>
      <c r="F55" s="680"/>
      <c r="G55" s="682" t="s">
        <v>79</v>
      </c>
      <c r="H55" s="683"/>
      <c r="I55" s="684"/>
      <c r="J55" s="682" t="s">
        <v>80</v>
      </c>
      <c r="K55" s="683"/>
      <c r="L55" s="683"/>
      <c r="M55" s="688"/>
      <c r="N55" s="689" t="s">
        <v>2343</v>
      </c>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2233</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2086</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81</v>
      </c>
      <c r="D60" s="659"/>
      <c r="E60" s="659"/>
      <c r="F60" s="659"/>
      <c r="G60" s="659"/>
      <c r="H60" s="659"/>
      <c r="I60" s="659"/>
      <c r="J60" s="659"/>
      <c r="K60" s="659"/>
      <c r="L60" s="659"/>
      <c r="M60" s="659"/>
      <c r="N60" s="659"/>
      <c r="O60" s="659"/>
      <c r="P60" s="659"/>
      <c r="Q60" s="659"/>
      <c r="R60" s="659"/>
      <c r="S60" s="660"/>
      <c r="T60" s="661">
        <f>SUM('別紙様式6-2 事業所個票１:事業所個票10'!$BN$51)</f>
        <v>2989250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2087</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82</v>
      </c>
      <c r="D61" s="667"/>
      <c r="E61" s="667"/>
      <c r="F61" s="667"/>
      <c r="G61" s="667"/>
      <c r="H61" s="667"/>
      <c r="I61" s="667"/>
      <c r="J61" s="667"/>
      <c r="K61" s="667"/>
      <c r="L61" s="667"/>
      <c r="M61" s="667"/>
      <c r="N61" s="667"/>
      <c r="O61" s="667"/>
      <c r="P61" s="667"/>
      <c r="Q61" s="667"/>
      <c r="R61" s="667"/>
      <c r="S61" s="668"/>
      <c r="T61" s="669">
        <v>3000000</v>
      </c>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2151</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2152</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85</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2153</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2154</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86</v>
      </c>
      <c r="AF68" s="238" t="s">
        <v>69</v>
      </c>
      <c r="AG68" s="155" t="s">
        <v>38</v>
      </c>
      <c r="AH68" s="183" t="str">
        <f>IF(T67=0,"",(IF(AB68&gt;=200/3,"○","×")))</f>
        <v/>
      </c>
      <c r="AI68" s="221"/>
      <c r="AJ68" s="221"/>
      <c r="AK68" s="221"/>
      <c r="AL68" s="155"/>
      <c r="AM68" s="628" t="s">
        <v>2155</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2156</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87</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07" t="s">
        <v>2157</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1</v>
      </c>
      <c r="AN74" s="637" t="s">
        <v>2088</v>
      </c>
      <c r="AO74" s="637"/>
      <c r="AP74" s="637"/>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2158</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v>
      </c>
      <c r="AA75" s="251"/>
      <c r="AB75" s="251"/>
      <c r="AC75" s="251"/>
      <c r="AD75" s="251"/>
      <c r="AE75" s="251"/>
      <c r="AF75" s="251"/>
      <c r="AG75" s="251"/>
      <c r="AH75" s="251"/>
      <c r="AI75" s="251"/>
      <c r="AJ75" s="251"/>
      <c r="AK75" s="251"/>
      <c r="AL75" s="251"/>
      <c r="AM75" s="628" t="s">
        <v>84</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607" t="s">
        <v>2232</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89</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193300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90</v>
      </c>
      <c r="D80" s="729"/>
      <c r="E80" s="729"/>
      <c r="F80" s="729"/>
      <c r="G80" s="729"/>
      <c r="H80" s="729"/>
      <c r="I80" s="729"/>
      <c r="J80" s="729"/>
      <c r="K80" s="729"/>
      <c r="L80" s="729"/>
      <c r="M80" s="729"/>
      <c r="N80" s="729"/>
      <c r="O80" s="729"/>
      <c r="P80" s="729"/>
      <c r="Q80" s="729"/>
      <c r="R80" s="729"/>
      <c r="S80" s="729"/>
      <c r="T80" s="730"/>
      <c r="U80" s="712">
        <f>U81+U86</f>
        <v>198000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2234</v>
      </c>
      <c r="D81" s="746"/>
      <c r="E81" s="750" t="s">
        <v>91</v>
      </c>
      <c r="F81" s="751"/>
      <c r="G81" s="751"/>
      <c r="H81" s="751"/>
      <c r="I81" s="751"/>
      <c r="J81" s="751"/>
      <c r="K81" s="751"/>
      <c r="L81" s="751"/>
      <c r="M81" s="751"/>
      <c r="N81" s="751"/>
      <c r="O81" s="751"/>
      <c r="P81" s="751"/>
      <c r="Q81" s="751"/>
      <c r="R81" s="751"/>
      <c r="S81" s="751"/>
      <c r="T81" s="752"/>
      <c r="U81" s="756">
        <v>123000</v>
      </c>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73.170731707317074</v>
      </c>
      <c r="AD82" s="732"/>
      <c r="AE82" s="733"/>
      <c r="AF82" s="737" t="s">
        <v>86</v>
      </c>
      <c r="AG82" s="737" t="s">
        <v>69</v>
      </c>
      <c r="AH82" s="738" t="s">
        <v>38</v>
      </c>
      <c r="AI82" s="593" t="str">
        <f>IF(U81=0,"",IF(AND(AC82&gt;=200/3,AC82&lt;=100),"○","×"))</f>
        <v>○</v>
      </c>
      <c r="AJ82" s="221"/>
      <c r="AK82" s="155"/>
      <c r="AL82" s="221"/>
      <c r="AM82" s="739" t="s">
        <v>2354</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2160</v>
      </c>
      <c r="G83" s="767"/>
      <c r="H83" s="767"/>
      <c r="I83" s="767"/>
      <c r="J83" s="767"/>
      <c r="K83" s="767"/>
      <c r="L83" s="767"/>
      <c r="M83" s="767"/>
      <c r="N83" s="767"/>
      <c r="O83" s="767"/>
      <c r="P83" s="767"/>
      <c r="Q83" s="767"/>
      <c r="R83" s="767"/>
      <c r="S83" s="767"/>
      <c r="T83" s="767"/>
      <c r="U83" s="771">
        <v>90000</v>
      </c>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45000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92</v>
      </c>
      <c r="D86" s="779"/>
      <c r="E86" s="750" t="s">
        <v>93</v>
      </c>
      <c r="F86" s="751"/>
      <c r="G86" s="751"/>
      <c r="H86" s="751"/>
      <c r="I86" s="751"/>
      <c r="J86" s="751"/>
      <c r="K86" s="751"/>
      <c r="L86" s="751"/>
      <c r="M86" s="751"/>
      <c r="N86" s="751"/>
      <c r="O86" s="751"/>
      <c r="P86" s="751"/>
      <c r="Q86" s="751"/>
      <c r="R86" s="751"/>
      <c r="S86" s="751"/>
      <c r="T86" s="752"/>
      <c r="U86" s="756">
        <v>75000</v>
      </c>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82.666666666666671</v>
      </c>
      <c r="AD87" s="732"/>
      <c r="AE87" s="733"/>
      <c r="AF87" s="737" t="s">
        <v>86</v>
      </c>
      <c r="AG87" s="737" t="s">
        <v>69</v>
      </c>
      <c r="AH87" s="738" t="s">
        <v>38</v>
      </c>
      <c r="AI87" s="593" t="str">
        <f>IF(U86=0,"",IF(AND(AC87&gt;=200/3,AC82&lt;=100),"○","×"))</f>
        <v>○</v>
      </c>
      <c r="AJ87" s="221"/>
      <c r="AK87" s="221"/>
      <c r="AL87" s="221"/>
      <c r="AM87" s="739" t="s">
        <v>2161</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2162</v>
      </c>
      <c r="G88" s="767"/>
      <c r="H88" s="767"/>
      <c r="I88" s="767"/>
      <c r="J88" s="767"/>
      <c r="K88" s="767"/>
      <c r="L88" s="767"/>
      <c r="M88" s="767"/>
      <c r="N88" s="767"/>
      <c r="O88" s="767"/>
      <c r="P88" s="767"/>
      <c r="Q88" s="767"/>
      <c r="R88" s="767"/>
      <c r="S88" s="767"/>
      <c r="T88" s="767"/>
      <c r="U88" s="771">
        <v>62000</v>
      </c>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31000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95</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該当</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94" t="str">
        <f>IF(SUM('別紙様式6-2 事業所個票１:事業所個票10'!CI4)=0,"該当","")</f>
        <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100</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101</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2088</v>
      </c>
      <c r="AO99" s="637"/>
      <c r="AP99" s="637"/>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637" t="s">
        <v>2089</v>
      </c>
      <c r="AO100" s="637"/>
      <c r="AP100" s="637"/>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106</v>
      </c>
      <c r="D103" s="784"/>
      <c r="E103" s="784"/>
      <c r="F103" s="784"/>
      <c r="G103" s="784"/>
      <c r="H103" s="784"/>
      <c r="I103" s="784"/>
      <c r="J103" s="784"/>
      <c r="K103" s="784"/>
      <c r="L103" s="224"/>
      <c r="M103" s="785"/>
      <c r="N103" s="786"/>
      <c r="O103" s="787" t="s">
        <v>2235</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2011</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107</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108</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99"/>
      <c r="C107" s="280" t="s">
        <v>102</v>
      </c>
      <c r="D107" s="800" t="s">
        <v>2209</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2088</v>
      </c>
      <c r="AO107" s="637"/>
      <c r="AP107" s="637"/>
      <c r="AQ107" s="157"/>
      <c r="AR107" s="69" t="b">
        <v>0</v>
      </c>
      <c r="AS107" s="637" t="s">
        <v>2090</v>
      </c>
      <c r="AT107" s="637"/>
      <c r="AU107" s="637"/>
    </row>
    <row r="108" spans="1:55" s="165" customFormat="1" ht="25.5" customHeight="1" thickBot="1">
      <c r="A108" s="164"/>
      <c r="B108" s="799"/>
      <c r="C108" s="817"/>
      <c r="D108" s="819" t="s">
        <v>109</v>
      </c>
      <c r="E108" s="820"/>
      <c r="F108" s="820"/>
      <c r="G108" s="820"/>
      <c r="H108" s="825"/>
      <c r="I108" s="827" t="s">
        <v>32</v>
      </c>
      <c r="J108" s="829" t="s">
        <v>2229</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1</v>
      </c>
      <c r="AN108" s="637" t="s">
        <v>2089</v>
      </c>
      <c r="AO108" s="637"/>
      <c r="AP108" s="637"/>
      <c r="AQ108" s="301"/>
      <c r="AR108" s="69" t="b">
        <v>0</v>
      </c>
      <c r="AS108" s="637" t="s">
        <v>2091</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2357</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2163</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110</v>
      </c>
      <c r="K110" s="303"/>
      <c r="L110" s="303"/>
      <c r="M110" s="303"/>
      <c r="N110" s="303"/>
      <c r="O110" s="303"/>
      <c r="P110" s="303"/>
      <c r="Q110" s="303"/>
      <c r="R110" s="303"/>
      <c r="S110" s="807" t="s">
        <v>111</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2358</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2164</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2165</v>
      </c>
      <c r="D114" s="784"/>
      <c r="E114" s="784"/>
      <c r="F114" s="784"/>
      <c r="G114" s="784"/>
      <c r="H114" s="784"/>
      <c r="I114" s="784"/>
      <c r="J114" s="784"/>
      <c r="K114" s="784"/>
      <c r="L114" s="224"/>
      <c r="M114" s="785"/>
      <c r="N114" s="786"/>
      <c r="O114" s="814" t="s">
        <v>112</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2012</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113</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637" t="s">
        <v>2090</v>
      </c>
      <c r="AT117" s="637"/>
      <c r="AU117" s="637"/>
    </row>
    <row r="118" spans="1:55" s="165" customFormat="1" ht="20.25" customHeight="1" thickBot="1">
      <c r="A118" s="164"/>
      <c r="B118" s="785"/>
      <c r="C118" s="786"/>
      <c r="D118" s="851" t="s">
        <v>108</v>
      </c>
      <c r="E118" s="851"/>
      <c r="F118" s="851"/>
      <c r="G118" s="851"/>
      <c r="H118" s="851"/>
      <c r="I118" s="851"/>
      <c r="J118" s="851"/>
      <c r="K118" s="851"/>
      <c r="L118" s="851"/>
      <c r="M118" s="851"/>
      <c r="N118" s="851"/>
      <c r="O118" s="851"/>
      <c r="P118" s="851"/>
      <c r="Q118" s="852"/>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637" t="s">
        <v>2088</v>
      </c>
      <c r="AO118" s="637"/>
      <c r="AP118" s="637"/>
      <c r="AR118" s="69" t="b">
        <v>0</v>
      </c>
      <c r="AS118" s="637" t="s">
        <v>2091</v>
      </c>
      <c r="AT118" s="637"/>
      <c r="AU118" s="637"/>
    </row>
    <row r="119" spans="1:55" s="165" customFormat="1" ht="28.5" customHeight="1" thickBot="1">
      <c r="A119" s="164"/>
      <c r="B119" s="280" t="s">
        <v>102</v>
      </c>
      <c r="C119" s="853" t="s">
        <v>2211</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2089</v>
      </c>
      <c r="AO119" s="637"/>
      <c r="AP119" s="637"/>
      <c r="AR119" s="69" t="b">
        <v>0</v>
      </c>
      <c r="AS119" s="637" t="s">
        <v>2092</v>
      </c>
      <c r="AT119" s="637"/>
      <c r="AU119" s="637"/>
    </row>
    <row r="120" spans="1:55" s="165" customFormat="1" ht="25.5" customHeight="1">
      <c r="A120" s="164"/>
      <c r="B120" s="817"/>
      <c r="C120" s="819" t="s">
        <v>115</v>
      </c>
      <c r="D120" s="820"/>
      <c r="E120" s="820"/>
      <c r="F120" s="820"/>
      <c r="G120" s="316"/>
      <c r="H120" s="317" t="s">
        <v>32</v>
      </c>
      <c r="I120" s="835" t="s">
        <v>116</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2166</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117</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118</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103</v>
      </c>
      <c r="C123" s="857" t="s">
        <v>2210</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2167</v>
      </c>
      <c r="C125" s="859"/>
      <c r="D125" s="859"/>
      <c r="E125" s="859"/>
      <c r="F125" s="859"/>
      <c r="G125" s="859"/>
      <c r="H125" s="859"/>
      <c r="I125" s="859"/>
      <c r="J125" s="859"/>
      <c r="K125" s="859"/>
      <c r="L125" s="224"/>
      <c r="M125" s="785"/>
      <c r="N125" s="786"/>
      <c r="O125" s="860" t="s">
        <v>119</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2013</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120</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122</v>
      </c>
      <c r="C129" s="559"/>
      <c r="D129" s="559"/>
      <c r="E129" s="559"/>
      <c r="F129" s="559"/>
      <c r="G129" s="559"/>
      <c r="H129" s="559"/>
      <c r="I129" s="559"/>
      <c r="J129" s="559"/>
      <c r="K129" s="559"/>
      <c r="L129" s="553" t="s">
        <v>2177</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2179</v>
      </c>
      <c r="AD129" s="556" t="str">
        <f>IF(AB130=0,"",IF(AB129&gt;=AB130,"○","×"))</f>
        <v>×</v>
      </c>
      <c r="AE129" s="155"/>
      <c r="AF129" s="155"/>
      <c r="AG129" s="155"/>
      <c r="AH129" s="155"/>
      <c r="AI129" s="155"/>
      <c r="AJ129" s="155"/>
      <c r="AK129" s="155"/>
      <c r="AL129" s="155"/>
      <c r="AM129" s="326" t="str">
        <f>IF(OR(AD129="×",AD131="×"),"×","")</f>
        <v>×</v>
      </c>
    </row>
    <row r="130" spans="1:56" ht="24.75" customHeight="1" thickBot="1">
      <c r="A130" s="155"/>
      <c r="B130" s="560"/>
      <c r="C130" s="561"/>
      <c r="D130" s="561"/>
      <c r="E130" s="561"/>
      <c r="F130" s="561"/>
      <c r="G130" s="561"/>
      <c r="H130" s="561"/>
      <c r="I130" s="561"/>
      <c r="J130" s="561"/>
      <c r="K130" s="561"/>
      <c r="L130" s="553" t="s">
        <v>2178</v>
      </c>
      <c r="M130" s="553"/>
      <c r="N130" s="553"/>
      <c r="O130" s="553"/>
      <c r="P130" s="553"/>
      <c r="Q130" s="553"/>
      <c r="R130" s="553"/>
      <c r="S130" s="553"/>
      <c r="T130" s="553"/>
      <c r="U130" s="553"/>
      <c r="V130" s="553"/>
      <c r="W130" s="553"/>
      <c r="X130" s="553"/>
      <c r="Y130" s="553"/>
      <c r="Z130" s="553"/>
      <c r="AA130" s="554"/>
      <c r="AB130" s="325">
        <f>SUM('別紙様式6-2 事業所個票１:事業所個票10'!CI6)</f>
        <v>1</v>
      </c>
      <c r="AC130" s="555"/>
      <c r="AD130" s="557"/>
      <c r="AE130" s="155"/>
      <c r="AF130" s="155"/>
      <c r="AG130" s="155"/>
      <c r="AH130" s="155"/>
      <c r="AI130" s="155"/>
      <c r="AJ130" s="155"/>
      <c r="AK130" s="155"/>
      <c r="AL130" s="155"/>
    </row>
    <row r="131" spans="1:56" ht="24.75" customHeight="1" thickBot="1">
      <c r="A131" s="155"/>
      <c r="B131" s="862" t="s">
        <v>2168</v>
      </c>
      <c r="C131" s="854"/>
      <c r="D131" s="854"/>
      <c r="E131" s="854"/>
      <c r="F131" s="854"/>
      <c r="G131" s="854"/>
      <c r="H131" s="854"/>
      <c r="I131" s="854"/>
      <c r="J131" s="854"/>
      <c r="K131" s="854"/>
      <c r="L131" s="553" t="s">
        <v>2177</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2179</v>
      </c>
      <c r="AD131" s="556" t="str">
        <f>IF(AB132=0,"",IF(AB131&gt;=AB132,"○","×"))</f>
        <v>○</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2178</v>
      </c>
      <c r="M132" s="553"/>
      <c r="N132" s="553"/>
      <c r="O132" s="553"/>
      <c r="P132" s="553"/>
      <c r="Q132" s="553"/>
      <c r="R132" s="553"/>
      <c r="S132" s="553"/>
      <c r="T132" s="553"/>
      <c r="U132" s="553"/>
      <c r="V132" s="553"/>
      <c r="W132" s="553"/>
      <c r="X132" s="553"/>
      <c r="Y132" s="553"/>
      <c r="Z132" s="553"/>
      <c r="AA132" s="554"/>
      <c r="AB132" s="325">
        <f>SUM('別紙様式6-2 事業所個票１:事業所個票10'!CI6)</f>
        <v>1</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28" t="s">
        <v>2169</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125</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2172</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127</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128</v>
      </c>
      <c r="C143" s="729"/>
      <c r="D143" s="729"/>
      <c r="E143" s="729"/>
      <c r="F143" s="729"/>
      <c r="G143" s="729"/>
      <c r="H143" s="729"/>
      <c r="I143" s="729"/>
      <c r="J143" s="729"/>
      <c r="K143" s="729"/>
      <c r="L143" s="729"/>
      <c r="M143" s="729"/>
      <c r="N143" s="729"/>
      <c r="O143" s="729"/>
      <c r="P143" s="729"/>
      <c r="Q143" s="730"/>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2180</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129</v>
      </c>
      <c r="C144" s="710"/>
      <c r="D144" s="710"/>
      <c r="E144" s="710"/>
      <c r="F144" s="710"/>
      <c r="G144" s="710"/>
      <c r="H144" s="710"/>
      <c r="I144" s="710"/>
      <c r="J144" s="710"/>
      <c r="K144" s="710"/>
      <c r="L144" s="710"/>
      <c r="M144" s="710"/>
      <c r="N144" s="710"/>
      <c r="O144" s="710"/>
      <c r="P144" s="710"/>
      <c r="Q144" s="711"/>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2181</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130</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
      </c>
      <c r="AJ147" s="868"/>
      <c r="AK147" s="869"/>
      <c r="AL147" s="164"/>
    </row>
    <row r="148" spans="1:55" s="165" customFormat="1" ht="24" customHeight="1">
      <c r="A148" s="164"/>
      <c r="B148" s="254" t="s">
        <v>83</v>
      </c>
      <c r="C148" s="882" t="s">
        <v>132</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該当</v>
      </c>
      <c r="AJ150" s="868"/>
      <c r="AK150" s="869"/>
      <c r="AL150" s="164"/>
    </row>
    <row r="151" spans="1:55" s="165" customFormat="1" ht="39" customHeight="1" thickBot="1">
      <c r="A151" s="164"/>
      <c r="B151" s="254" t="s">
        <v>83</v>
      </c>
      <c r="C151" s="882" t="s">
        <v>2228</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2214</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134</v>
      </c>
      <c r="C153" s="884"/>
      <c r="D153" s="884"/>
      <c r="E153" s="885"/>
      <c r="F153" s="886" t="s">
        <v>135</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08" t="s">
        <v>2014</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136</v>
      </c>
      <c r="C154" s="854"/>
      <c r="D154" s="854"/>
      <c r="E154" s="873"/>
      <c r="F154" s="359"/>
      <c r="G154" s="877" t="s">
        <v>2213</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874"/>
      <c r="C155" s="855"/>
      <c r="D155" s="855"/>
      <c r="E155" s="875"/>
      <c r="F155" s="360"/>
      <c r="G155" s="879" t="s">
        <v>137</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0"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138</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0"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139</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862" t="s">
        <v>140</v>
      </c>
      <c r="C158" s="854"/>
      <c r="D158" s="854"/>
      <c r="E158" s="873"/>
      <c r="F158" s="364"/>
      <c r="G158" s="889" t="s">
        <v>2219</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874"/>
      <c r="C159" s="855"/>
      <c r="D159" s="855"/>
      <c r="E159" s="875"/>
      <c r="F159" s="360"/>
      <c r="G159" s="879" t="s">
        <v>141</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0"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142</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0"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143</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862" t="s">
        <v>144</v>
      </c>
      <c r="C162" s="854"/>
      <c r="D162" s="854"/>
      <c r="E162" s="873"/>
      <c r="F162" s="368"/>
      <c r="G162" s="889" t="s">
        <v>145</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874"/>
      <c r="C163" s="855"/>
      <c r="D163" s="855"/>
      <c r="E163" s="875"/>
      <c r="F163" s="360"/>
      <c r="G163" s="879" t="s">
        <v>146</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0"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147</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0"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863"/>
      <c r="C166" s="864"/>
      <c r="D166" s="864"/>
      <c r="E166" s="876"/>
      <c r="F166" s="362"/>
      <c r="G166" s="890" t="s">
        <v>2212</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862" t="s">
        <v>149</v>
      </c>
      <c r="C167" s="854"/>
      <c r="D167" s="854"/>
      <c r="E167" s="873"/>
      <c r="F167" s="364"/>
      <c r="G167" s="895" t="s">
        <v>2218</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874"/>
      <c r="C168" s="855"/>
      <c r="D168" s="855"/>
      <c r="E168" s="875"/>
      <c r="F168" s="360"/>
      <c r="G168" s="894" t="s">
        <v>150</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0"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151</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0"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152</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862" t="s">
        <v>153</v>
      </c>
      <c r="C171" s="854"/>
      <c r="D171" s="854"/>
      <c r="E171" s="873"/>
      <c r="F171" s="368"/>
      <c r="G171" s="893" t="s">
        <v>154</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874"/>
      <c r="C172" s="855"/>
      <c r="D172" s="855"/>
      <c r="E172" s="875"/>
      <c r="F172" s="360"/>
      <c r="G172" s="894" t="s">
        <v>155</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0" t="b">
        <v>1</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156</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0"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157</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862" t="s">
        <v>158</v>
      </c>
      <c r="C175" s="854"/>
      <c r="D175" s="854"/>
      <c r="E175" s="873"/>
      <c r="F175" s="368"/>
      <c r="G175" s="893" t="s">
        <v>2217</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874"/>
      <c r="C176" s="855"/>
      <c r="D176" s="855"/>
      <c r="E176" s="875"/>
      <c r="F176" s="360"/>
      <c r="G176" s="894" t="s">
        <v>159</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0"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2216</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0"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2215</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160</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918" t="s">
        <v>163</v>
      </c>
      <c r="C182" s="919"/>
      <c r="D182" s="919"/>
      <c r="E182" s="920" t="b">
        <v>0</v>
      </c>
      <c r="F182" s="359"/>
      <c r="G182" s="906" t="s">
        <v>2220</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1</v>
      </c>
      <c r="AN182" s="608" t="s">
        <v>162</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2221</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166</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167</v>
      </c>
      <c r="AF187" s="902"/>
      <c r="AG187" s="902"/>
      <c r="AH187" s="902"/>
      <c r="AI187" s="902"/>
      <c r="AJ187" s="903"/>
      <c r="AK187" s="357" t="str">
        <f>IF(AND(AM188=TRUE,OR(Q20=0,AM189=TRUE),AM190=TRUE,AM191=TRUE,AM192=TRUE,AM193=TRUE),"○","×")</f>
        <v>○</v>
      </c>
      <c r="AL187" s="155"/>
      <c r="AM187" s="628" t="s">
        <v>2015</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168</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169</v>
      </c>
      <c r="AF188" s="909"/>
      <c r="AG188" s="909"/>
      <c r="AH188" s="909"/>
      <c r="AI188" s="909"/>
      <c r="AJ188" s="909"/>
      <c r="AK188" s="910"/>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2237</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169</v>
      </c>
      <c r="AF189" s="914"/>
      <c r="AG189" s="914"/>
      <c r="AH189" s="914"/>
      <c r="AI189" s="914"/>
      <c r="AJ189" s="914"/>
      <c r="AK189" s="915"/>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170</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171</v>
      </c>
      <c r="AF190" s="914"/>
      <c r="AG190" s="914"/>
      <c r="AH190" s="914"/>
      <c r="AI190" s="914"/>
      <c r="AJ190" s="914"/>
      <c r="AK190" s="915"/>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172</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173</v>
      </c>
      <c r="AF191" s="932"/>
      <c r="AG191" s="932"/>
      <c r="AH191" s="932"/>
      <c r="AI191" s="932"/>
      <c r="AJ191" s="932"/>
      <c r="AK191" s="933"/>
      <c r="AL191" s="155"/>
      <c r="AM191" s="69" t="b">
        <v>1</v>
      </c>
    </row>
    <row r="192" spans="1:59" s="165" customFormat="1" ht="23.25" customHeight="1">
      <c r="A192" s="164"/>
      <c r="B192" s="368"/>
      <c r="C192" s="916" t="s">
        <v>174</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175</v>
      </c>
      <c r="AF192" s="914"/>
      <c r="AG192" s="914"/>
      <c r="AH192" s="914"/>
      <c r="AI192" s="914"/>
      <c r="AJ192" s="914"/>
      <c r="AK192" s="915"/>
      <c r="AL192" s="155"/>
      <c r="AM192" s="69" t="b">
        <v>1</v>
      </c>
      <c r="AN192" s="382"/>
      <c r="AO192" s="382"/>
      <c r="AP192" s="382"/>
    </row>
    <row r="193" spans="1:59" s="165" customFormat="1" ht="13.5" customHeight="1" thickBot="1">
      <c r="A193" s="164"/>
      <c r="B193" s="372"/>
      <c r="C193" s="934" t="s">
        <v>176</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177</v>
      </c>
      <c r="AF193" s="937"/>
      <c r="AG193" s="937"/>
      <c r="AH193" s="937"/>
      <c r="AI193" s="937"/>
      <c r="AJ193" s="937"/>
      <c r="AK193" s="93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925" t="s">
        <v>2222</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180</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v>6</v>
      </c>
      <c r="F201" s="928"/>
      <c r="G201" s="393" t="s">
        <v>74</v>
      </c>
      <c r="H201" s="927" t="s">
        <v>181</v>
      </c>
      <c r="I201" s="928"/>
      <c r="J201" s="393" t="s">
        <v>182</v>
      </c>
      <c r="K201" s="927" t="s">
        <v>181</v>
      </c>
      <c r="L201" s="928"/>
      <c r="M201" s="393" t="s">
        <v>183</v>
      </c>
      <c r="N201" s="381"/>
      <c r="O201" s="929" t="s">
        <v>20</v>
      </c>
      <c r="P201" s="929"/>
      <c r="Q201" s="929"/>
      <c r="R201" s="930" t="str">
        <f>IF(H7="","",H7)</f>
        <v>○○ケアサービス</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184</v>
      </c>
      <c r="P202" s="951"/>
      <c r="Q202" s="951"/>
      <c r="R202" s="952" t="s">
        <v>22</v>
      </c>
      <c r="S202" s="952"/>
      <c r="T202" s="953" t="s">
        <v>2359</v>
      </c>
      <c r="U202" s="953"/>
      <c r="V202" s="953"/>
      <c r="W202" s="953"/>
      <c r="X202" s="953"/>
      <c r="Y202" s="954" t="s">
        <v>23</v>
      </c>
      <c r="Z202" s="954"/>
      <c r="AA202" s="953" t="s">
        <v>2360</v>
      </c>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188</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189</v>
      </c>
      <c r="C210" s="942" t="s">
        <v>190</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191</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192</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193</v>
      </c>
      <c r="C213" s="945" t="s">
        <v>194</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195</v>
      </c>
      <c r="C214" s="948" t="s">
        <v>196</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2227</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189</v>
      </c>
      <c r="C217" s="970" t="s">
        <v>197</v>
      </c>
      <c r="D217" s="971"/>
      <c r="E217" s="971"/>
      <c r="F217" s="971"/>
      <c r="G217" s="971"/>
      <c r="H217" s="971"/>
      <c r="I217" s="972"/>
      <c r="J217" s="963" t="s">
        <v>198</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193</v>
      </c>
      <c r="C218" s="960" t="s">
        <v>199</v>
      </c>
      <c r="D218" s="960"/>
      <c r="E218" s="960"/>
      <c r="F218" s="960"/>
      <c r="G218" s="960"/>
      <c r="H218" s="960"/>
      <c r="I218" s="960"/>
      <c r="J218" s="961" t="s">
        <v>200</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201</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2226</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v>
      </c>
      <c r="AL220" s="421"/>
      <c r="AM220" s="157"/>
    </row>
    <row r="221" spans="1:60" s="375" customFormat="1" ht="25.5" customHeight="1">
      <c r="A221" s="371"/>
      <c r="B221" s="965"/>
      <c r="C221" s="960"/>
      <c r="D221" s="960"/>
      <c r="E221" s="960"/>
      <c r="F221" s="960"/>
      <c r="G221" s="960"/>
      <c r="H221" s="960"/>
      <c r="I221" s="960"/>
      <c r="J221" s="961" t="s">
        <v>202</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v>
      </c>
      <c r="AL221" s="421"/>
      <c r="AM221" s="157"/>
    </row>
    <row r="222" spans="1:60" s="375" customFormat="1" ht="48.75" customHeight="1">
      <c r="A222" s="371"/>
      <c r="B222" s="965" t="s">
        <v>195</v>
      </c>
      <c r="C222" s="960" t="s">
        <v>204</v>
      </c>
      <c r="D222" s="960"/>
      <c r="E222" s="960"/>
      <c r="F222" s="960"/>
      <c r="G222" s="960"/>
      <c r="H222" s="960"/>
      <c r="I222" s="960"/>
      <c r="J222" s="961" t="s">
        <v>2225</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2224</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960" t="s">
        <v>205</v>
      </c>
      <c r="D224" s="960"/>
      <c r="E224" s="960"/>
      <c r="F224" s="960"/>
      <c r="G224" s="960"/>
      <c r="H224" s="960"/>
      <c r="I224" s="960"/>
      <c r="J224" s="961" t="s">
        <v>206</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v>
      </c>
      <c r="AL224" s="155"/>
      <c r="AM224" s="157"/>
    </row>
    <row r="225" spans="1:60" s="165" customFormat="1" ht="36" customHeight="1">
      <c r="A225" s="164"/>
      <c r="B225" s="417" t="s">
        <v>2174</v>
      </c>
      <c r="C225" s="960" t="s">
        <v>207</v>
      </c>
      <c r="D225" s="960"/>
      <c r="E225" s="960"/>
      <c r="F225" s="960"/>
      <c r="G225" s="960"/>
      <c r="H225" s="960"/>
      <c r="I225" s="960"/>
      <c r="J225" s="961" t="s">
        <v>208</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2175</v>
      </c>
      <c r="C226" s="960" t="s">
        <v>210</v>
      </c>
      <c r="D226" s="960"/>
      <c r="E226" s="960"/>
      <c r="F226" s="960"/>
      <c r="G226" s="960"/>
      <c r="H226" s="960"/>
      <c r="I226" s="960"/>
      <c r="J226" s="963" t="s">
        <v>2223</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209</v>
      </c>
      <c r="C227" s="960" t="s">
        <v>211</v>
      </c>
      <c r="D227" s="960"/>
      <c r="E227" s="960"/>
      <c r="F227" s="960"/>
      <c r="G227" s="960"/>
      <c r="H227" s="960"/>
      <c r="I227" s="960"/>
      <c r="J227" s="963" t="s">
        <v>212</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213</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214</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215</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2094</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password="F576" sheet="1" formatCells="0" formatColumns="0" formatRows="0" selectLockedCells="1" sort="0" autoFilter="0" selectUnlockedCells="1"/>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hyperlinks>
    <hyperlink ref="Z13" r:id="rId1"/>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CJ73"/>
  <sheetViews>
    <sheetView showGridLines="0" view="pageBreakPreview" zoomScaleNormal="53" zoomScaleSheetLayoutView="100" workbookViewId="0">
      <selection activeCell="L10" sqref="L10:P1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2332</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8" t="str">
        <f>IF(AI1&lt;&gt;"",1,"")</f>
        <v/>
      </c>
      <c r="CJ2" s="1209"/>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0" t="str">
        <f>IF(AND(L9="ベア加算",Q49="ベア加算"),1,"")</f>
        <v/>
      </c>
      <c r="CJ3" s="1211"/>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4"/>
      <c r="Q5" s="1215"/>
      <c r="R5" s="1215"/>
      <c r="S5" s="1215"/>
      <c r="T5" s="1215"/>
      <c r="U5" s="1215"/>
      <c r="V5" s="1215"/>
      <c r="W5" s="1215"/>
      <c r="X5" s="1216"/>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2188</v>
      </c>
      <c r="CF7" s="1212"/>
      <c r="CG7" s="1212"/>
      <c r="CH7" s="1212"/>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2188</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3" t="str">
        <f>IFERROR(VLOOKUP(Y5,【参考】数式用!$A$5:$AB$37,MATCH(V11,【参考】数式用!$B$4:$AB$4,0)+1,FALSE),"")</f>
        <v/>
      </c>
      <c r="W12" s="1213"/>
      <c r="X12" s="1213"/>
      <c r="Y12" s="1213"/>
      <c r="Z12" s="1213"/>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7" t="s">
        <v>2054</v>
      </c>
      <c r="BW50" s="1198"/>
      <c r="BX50" s="1198"/>
      <c r="BY50" s="1198"/>
      <c r="BZ50" s="1198"/>
      <c r="CA50" s="1199"/>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F576" sheet="1" formatCells="0" formatColumns="0" formatRows="0" selectLockedCells="1" selectUnlockedCells="1"/>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CJ73"/>
  <sheetViews>
    <sheetView showGridLines="0" view="pageBreakPreview" zoomScaleNormal="53" zoomScaleSheetLayoutView="100" workbookViewId="0">
      <selection activeCell="N3" sqref="N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2333</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8" t="str">
        <f>IF(AI1&lt;&gt;"",1,"")</f>
        <v/>
      </c>
      <c r="CJ2" s="1209"/>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0" t="str">
        <f>IF(AND(L9="ベア加算",Q49="ベア加算"),1,"")</f>
        <v/>
      </c>
      <c r="CJ3" s="1211"/>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4"/>
      <c r="Q5" s="1215"/>
      <c r="R5" s="1215"/>
      <c r="S5" s="1215"/>
      <c r="T5" s="1215"/>
      <c r="U5" s="1215"/>
      <c r="V5" s="1215"/>
      <c r="W5" s="1215"/>
      <c r="X5" s="1216"/>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2188</v>
      </c>
      <c r="CF7" s="1212"/>
      <c r="CG7" s="1212"/>
      <c r="CH7" s="1212"/>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2188</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3" t="str">
        <f>IFERROR(VLOOKUP(Y5,【参考】数式用!$A$5:$AB$37,MATCH(V11,【参考】数式用!$B$4:$AB$4,0)+1,FALSE),"")</f>
        <v/>
      </c>
      <c r="W12" s="1213"/>
      <c r="X12" s="1213"/>
      <c r="Y12" s="1213"/>
      <c r="Z12" s="1213"/>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7" t="s">
        <v>2054</v>
      </c>
      <c r="BW50" s="1198"/>
      <c r="BX50" s="1198"/>
      <c r="BY50" s="1198"/>
      <c r="BZ50" s="1198"/>
      <c r="CA50" s="1199"/>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F576" sheet="1" formatCells="0" formatColumns="0" formatRows="0" selectLockedCells="1" selectUnlockedCells="1"/>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17" t="s">
        <v>224</v>
      </c>
      <c r="B2" s="1219" t="s">
        <v>2239</v>
      </c>
      <c r="C2" s="1220"/>
      <c r="D2" s="1220"/>
      <c r="E2" s="1221"/>
      <c r="F2" s="1222" t="s">
        <v>2240</v>
      </c>
      <c r="G2" s="1223"/>
      <c r="H2" s="1223"/>
      <c r="I2" s="1217" t="s">
        <v>2241</v>
      </c>
      <c r="J2" s="1224"/>
      <c r="K2" s="1227" t="s">
        <v>2242</v>
      </c>
      <c r="L2" s="1228"/>
      <c r="M2" s="1228"/>
      <c r="N2" s="1228"/>
      <c r="O2" s="1228"/>
      <c r="P2" s="1228"/>
      <c r="Q2" s="1228"/>
      <c r="R2" s="1228"/>
      <c r="S2" s="1228"/>
      <c r="T2" s="1228"/>
      <c r="U2" s="1228"/>
      <c r="V2" s="1228"/>
      <c r="W2" s="1228"/>
      <c r="X2" s="1228"/>
      <c r="Y2" s="1228"/>
      <c r="Z2" s="1228"/>
      <c r="AA2" s="1228"/>
      <c r="AB2" s="1229"/>
      <c r="AC2" s="1247" t="s">
        <v>2243</v>
      </c>
      <c r="AD2" s="449"/>
      <c r="AE2" s="1243" t="s">
        <v>224</v>
      </c>
      <c r="AF2" s="1245" t="s">
        <v>2277</v>
      </c>
      <c r="AH2" s="444" t="s">
        <v>2244</v>
      </c>
      <c r="AI2" s="445" t="s">
        <v>2244</v>
      </c>
      <c r="AK2" s="451" t="s">
        <v>181</v>
      </c>
      <c r="AM2" s="451" t="s">
        <v>16</v>
      </c>
      <c r="AO2" s="452" t="s">
        <v>226</v>
      </c>
      <c r="AQ2" s="1237" t="s">
        <v>2008</v>
      </c>
      <c r="AR2" s="1240" t="s">
        <v>225</v>
      </c>
    </row>
    <row r="3" spans="1:44" ht="51.75" customHeight="1" thickBot="1">
      <c r="A3" s="1218"/>
      <c r="B3" s="1230" t="s">
        <v>228</v>
      </c>
      <c r="C3" s="1231"/>
      <c r="D3" s="1231"/>
      <c r="E3" s="1232"/>
      <c r="F3" s="1233" t="s">
        <v>229</v>
      </c>
      <c r="G3" s="1233"/>
      <c r="H3" s="1233"/>
      <c r="I3" s="1225"/>
      <c r="J3" s="1226"/>
      <c r="K3" s="1234" t="s">
        <v>230</v>
      </c>
      <c r="L3" s="1235"/>
      <c r="M3" s="1235"/>
      <c r="N3" s="1235"/>
      <c r="O3" s="1235"/>
      <c r="P3" s="1235"/>
      <c r="Q3" s="1235"/>
      <c r="R3" s="1235"/>
      <c r="S3" s="1235"/>
      <c r="T3" s="1235"/>
      <c r="U3" s="1235"/>
      <c r="V3" s="1235"/>
      <c r="W3" s="1235"/>
      <c r="X3" s="1235"/>
      <c r="Y3" s="1235"/>
      <c r="Z3" s="1235"/>
      <c r="AA3" s="1235"/>
      <c r="AB3" s="1236"/>
      <c r="AC3" s="1248"/>
      <c r="AD3" s="449"/>
      <c r="AE3" s="1244"/>
      <c r="AF3" s="1246"/>
      <c r="AH3" s="443" t="s">
        <v>2245</v>
      </c>
      <c r="AI3" s="446" t="s">
        <v>2245</v>
      </c>
      <c r="AK3" s="453"/>
      <c r="AM3" s="453"/>
      <c r="AO3" s="454" t="s">
        <v>18</v>
      </c>
      <c r="AQ3" s="1238"/>
      <c r="AR3" s="1241"/>
    </row>
    <row r="4" spans="1:44" ht="41.25" customHeight="1" thickBot="1">
      <c r="A4" s="1218"/>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49"/>
      <c r="AD4" s="449"/>
      <c r="AE4" s="1244"/>
      <c r="AF4" s="1246"/>
      <c r="AH4" s="443" t="s">
        <v>2280</v>
      </c>
      <c r="AI4" s="446" t="s">
        <v>2280</v>
      </c>
      <c r="AO4" s="454" t="s">
        <v>237</v>
      </c>
      <c r="AQ4" s="1239"/>
      <c r="AR4" s="1242"/>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1" t="s">
        <v>2239</v>
      </c>
      <c r="C3" s="1250" t="s">
        <v>2240</v>
      </c>
      <c r="D3" s="1250" t="s">
        <v>2241</v>
      </c>
      <c r="E3" s="1250" t="s">
        <v>227</v>
      </c>
      <c r="F3" s="1252" t="s">
        <v>2067</v>
      </c>
      <c r="G3" s="1250" t="s">
        <v>2103</v>
      </c>
      <c r="H3" s="1250"/>
      <c r="I3" s="1250" t="s">
        <v>2104</v>
      </c>
      <c r="J3" s="1250"/>
      <c r="K3" s="1250" t="s">
        <v>2105</v>
      </c>
      <c r="L3" s="1250"/>
      <c r="M3" s="1255" t="s">
        <v>2037</v>
      </c>
      <c r="N3" s="1255" t="s">
        <v>2038</v>
      </c>
      <c r="O3" s="1255" t="s">
        <v>2039</v>
      </c>
      <c r="P3" s="1255" t="s">
        <v>2040</v>
      </c>
      <c r="Q3" s="1255" t="s">
        <v>2041</v>
      </c>
      <c r="R3" s="1255" t="s">
        <v>2042</v>
      </c>
      <c r="S3" s="1255" t="s">
        <v>2043</v>
      </c>
    </row>
    <row r="4" spans="2:19">
      <c r="B4" s="1251"/>
      <c r="C4" s="1250"/>
      <c r="D4" s="1250"/>
      <c r="E4" s="1250"/>
      <c r="F4" s="1253"/>
      <c r="G4" s="1250"/>
      <c r="H4" s="1250"/>
      <c r="I4" s="1250"/>
      <c r="J4" s="1250"/>
      <c r="K4" s="1250"/>
      <c r="L4" s="1250"/>
      <c r="M4" s="1255"/>
      <c r="N4" s="1255"/>
      <c r="O4" s="1255"/>
      <c r="P4" s="1255"/>
      <c r="Q4" s="1255"/>
      <c r="R4" s="1255"/>
      <c r="S4" s="1255"/>
    </row>
    <row r="5" spans="2:19">
      <c r="B5" s="1251"/>
      <c r="C5" s="1250"/>
      <c r="D5" s="1250"/>
      <c r="E5" s="1250"/>
      <c r="F5" s="1254"/>
      <c r="G5" s="1250"/>
      <c r="H5" s="1250"/>
      <c r="I5" s="1250"/>
      <c r="J5" s="1250"/>
      <c r="K5" s="1250"/>
      <c r="L5" s="1250"/>
      <c r="M5" s="1255"/>
      <c r="N5" s="1255"/>
      <c r="O5" s="1255"/>
      <c r="P5" s="1255"/>
      <c r="Q5" s="1255"/>
      <c r="R5" s="1255"/>
      <c r="S5" s="1255"/>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J73"/>
  <sheetViews>
    <sheetView showGridLines="0" view="pageBreakPreview" zoomScaleNormal="53" zoomScaleSheetLayoutView="100" workbookViewId="0">
      <selection activeCell="U34" sqref="U3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2119</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東京都</v>
      </c>
      <c r="AJ1" s="1204"/>
      <c r="AK1" s="1204"/>
      <c r="AL1" s="1204"/>
      <c r="AM1" s="1204"/>
      <c r="AN1" s="1204"/>
      <c r="AO1" s="1204"/>
      <c r="AP1" s="1204"/>
      <c r="AS1" s="1034" t="str">
        <f>B9&amp;G9&amp;L9</f>
        <v>処遇加算Ⅰ特定加算Ⅰベア加算なし</v>
      </c>
      <c r="AT1" s="1035"/>
      <c r="AU1" s="1035"/>
      <c r="AV1" s="1035"/>
      <c r="AW1" s="1035"/>
      <c r="AX1" s="1035"/>
      <c r="AY1" s="1035"/>
      <c r="AZ1" s="1035"/>
      <c r="BA1" s="1035"/>
      <c r="BB1" s="1035"/>
      <c r="BC1" s="1035"/>
      <c r="BD1" s="1035"/>
      <c r="BE1" s="1036"/>
      <c r="BF1" s="1033" t="str">
        <f>IFERROR(VLOOKUP(Y5,【参考】数式用!$AH$2:$AI$34,2,FALSE),"")</f>
        <v>施設入所支援</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76"/>
      <c r="AR2" s="76"/>
      <c r="CE2" s="992" t="s">
        <v>2193</v>
      </c>
      <c r="CF2" s="992"/>
      <c r="CG2" s="992"/>
      <c r="CH2" s="992"/>
      <c r="CI2" s="1208">
        <f>IF(AI1&lt;&gt;"",1,"")</f>
        <v>1</v>
      </c>
      <c r="CJ2" s="1209"/>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0" t="str">
        <f>IF(AND(L9="ベア加算",Q49="ベア加算"),1,"")</f>
        <v/>
      </c>
      <c r="CJ3" s="1211"/>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3">
        <v>1334567890</v>
      </c>
      <c r="C5" s="1103"/>
      <c r="D5" s="1103"/>
      <c r="E5" s="1103"/>
      <c r="F5" s="1103"/>
      <c r="G5" s="1104" t="s">
        <v>2344</v>
      </c>
      <c r="H5" s="1104"/>
      <c r="I5" s="1104"/>
      <c r="J5" s="1105" t="s">
        <v>4</v>
      </c>
      <c r="K5" s="1105"/>
      <c r="L5" s="1105"/>
      <c r="M5" s="1106" t="s">
        <v>5</v>
      </c>
      <c r="N5" s="1106"/>
      <c r="O5" s="1106"/>
      <c r="P5" s="1009" t="s">
        <v>2345</v>
      </c>
      <c r="Q5" s="1010"/>
      <c r="R5" s="1010"/>
      <c r="S5" s="1010"/>
      <c r="T5" s="1010"/>
      <c r="U5" s="1010"/>
      <c r="V5" s="1010"/>
      <c r="W5" s="1010"/>
      <c r="X5" s="1011"/>
      <c r="Y5" s="1086" t="s">
        <v>2250</v>
      </c>
      <c r="Z5" s="1086"/>
      <c r="AA5" s="1086"/>
      <c r="AB5" s="1086"/>
      <c r="AC5" s="1086"/>
      <c r="AD5" s="1086"/>
      <c r="AE5" s="997">
        <v>2250000</v>
      </c>
      <c r="AF5" s="998"/>
      <c r="AG5" s="998"/>
      <c r="AH5" s="999"/>
      <c r="AI5" s="997">
        <v>400000</v>
      </c>
      <c r="AJ5" s="998"/>
      <c r="AK5" s="998"/>
      <c r="AL5" s="999"/>
      <c r="AM5" s="1000">
        <f>AE5-AI5</f>
        <v>1850000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f>IF(OR(AH61=1,AP61=1),1,"")</f>
        <v>1</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2188</v>
      </c>
      <c r="CF7" s="1212"/>
      <c r="CG7" s="1212"/>
      <c r="CH7" s="1212"/>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新加算Ⅰ</v>
      </c>
      <c r="W8" s="1004"/>
      <c r="X8" s="1004"/>
      <c r="Y8" s="1004"/>
      <c r="Z8" s="1005"/>
      <c r="AA8" s="993" t="str">
        <f>IFERROR(VLOOKUP(AS1,【参考】数式用2!E6:L23,4,FALSE),"")</f>
        <v>交付金を取得する場合、４月からベア加算の算定が必要。その場合、６月以降は自然と新加算Ⅰに移行可能。</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5" t="str">
        <f>IF(OR(V8="新加算Ⅰ",V8="新加算Ⅱ",V8="新加算Ⅲ",V8="新加算Ⅴ(１)",V8="新加算Ⅴ(３)",V8="新加算Ⅴ(８)"),"○","")</f>
        <v>○</v>
      </c>
      <c r="AX8" s="1205" t="str">
        <f>IF(OR(V8="新加算Ⅰ",V8="新加算Ⅱ",V8="新加算Ⅴ(１)",V8="新加算Ⅴ(２)",V8="新加算Ⅴ(３)",V8="新加算Ⅴ(４)",V8="新加算Ⅴ(５)",V8="新加算Ⅴ(６)",V8="新加算Ⅴ(７)",V8="新加算Ⅴ(９)",V8="新加算Ⅴ(10)",V8="新加算Ⅴ(12)"),"○","")</f>
        <v>○</v>
      </c>
      <c r="AY8" s="1205" t="str">
        <f>IF(OR(V8="新加算Ⅰ",V8="新加算Ⅴ(１)",V8="新加算Ⅴ(２)",V8="新加算Ⅴ(５)",V8="新加算Ⅴ(７)",V8="新加算Ⅴ(10)"),"○","")</f>
        <v>○</v>
      </c>
      <c r="AZ8" s="1205" t="str">
        <f>IF(OR(V8="新加算Ⅰ",V8="新加算Ⅱ",V8="新加算Ⅴ(１)",V8="新加算Ⅴ(２)",V8="新加算Ⅴ(３)",V8="新加算Ⅴ(４)",V8="新加算Ⅴ(５)",V8="新加算Ⅴ(６)",V8="新加算Ⅴ(７)",V8="新加算Ⅴ(９)",V8="新加算Ⅴ(10)",V8="新加算Ⅴ(12)"),"○","")</f>
        <v>○</v>
      </c>
      <c r="BA8" s="84"/>
      <c r="CE8" s="1212" t="s">
        <v>2188</v>
      </c>
      <c r="CF8" s="1212"/>
      <c r="CG8" s="1212"/>
      <c r="CH8" s="1212"/>
      <c r="CI8" s="990" t="str">
        <f>IF(AND(AP62=1,AL41=""),1,"")</f>
        <v/>
      </c>
      <c r="CJ8" s="991"/>
    </row>
    <row r="9" spans="1:88" ht="26.25" customHeight="1">
      <c r="B9" s="1124" t="s">
        <v>7</v>
      </c>
      <c r="C9" s="1125"/>
      <c r="D9" s="1125"/>
      <c r="E9" s="1125"/>
      <c r="F9" s="1126"/>
      <c r="G9" s="1127" t="s">
        <v>234</v>
      </c>
      <c r="H9" s="1128"/>
      <c r="I9" s="1128"/>
      <c r="J9" s="1128"/>
      <c r="K9" s="1129"/>
      <c r="L9" s="1130" t="s">
        <v>9</v>
      </c>
      <c r="M9" s="1131"/>
      <c r="N9" s="1131"/>
      <c r="O9" s="1131"/>
      <c r="P9" s="1132"/>
      <c r="Q9" s="1107" t="s">
        <v>2052</v>
      </c>
      <c r="R9" s="1108"/>
      <c r="S9" s="1108"/>
      <c r="T9" s="1022"/>
      <c r="U9" s="1023"/>
      <c r="V9" s="1006">
        <f>IFERROR(VLOOKUP(Y5,【参考】数式用!$A$5:$AB$37,MATCH(V8,【参考】数式用!$B$4:$AB$4,0)+1,FALSE),"")</f>
        <v>0.159</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2188</v>
      </c>
      <c r="CF9" s="992"/>
      <c r="CG9" s="992"/>
      <c r="CH9" s="992"/>
      <c r="CI9" s="990">
        <f>IF(OR(AH62=1,AP62=1),1,"")</f>
        <v>1</v>
      </c>
      <c r="CJ9" s="991"/>
    </row>
    <row r="10" spans="1:88" ht="11.25" customHeight="1">
      <c r="B10" s="1133">
        <f>IFERROR(VLOOKUP(Y5,【参考】数式用!$A$5:$J$37,MATCH(B9,【参考】数式用!$B$4:$J$4,0)+1,0),"")</f>
        <v>8.5999999999999993E-2</v>
      </c>
      <c r="C10" s="1134"/>
      <c r="D10" s="1134"/>
      <c r="E10" s="1134"/>
      <c r="F10" s="1135"/>
      <c r="G10" s="1133">
        <f>IFERROR(VLOOKUP(Y5,【参考】数式用!$A$5:$J$37,MATCH(G9,【参考】数式用!$B$4:$J$4,0)+1,0),"")</f>
        <v>2.1000000000000001E-2</v>
      </c>
      <c r="H10" s="1134"/>
      <c r="I10" s="1134"/>
      <c r="J10" s="1134"/>
      <c r="K10" s="1135"/>
      <c r="L10" s="1139">
        <f>IFERROR(VLOOKUP(Y5,【参考】数式用!$A$5:$J$37,MATCH(L9,【参考】数式用!$B$4:$J$4,0)+1,0),"")</f>
        <v>0</v>
      </c>
      <c r="M10" s="1140"/>
      <c r="N10" s="1140"/>
      <c r="O10" s="1140"/>
      <c r="P10" s="1141"/>
      <c r="Q10" s="1145">
        <f>SUM(B10,G10,L10)</f>
        <v>0.107</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1</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新加算Ⅴ(１)</v>
      </c>
      <c r="W11" s="1075"/>
      <c r="X11" s="1075"/>
      <c r="Y11" s="1075"/>
      <c r="Z11" s="1075"/>
      <c r="AA11" s="993" t="str">
        <f>IFERROR(VLOOKUP(AS1,【参考】数式用2!E6:L23,6,FALSE),"")</f>
        <v>４月からベア加算を算定せず、６月から月額賃金改善要件Ⅱも満たさない場合、Ⅴ(1)となる。なお、R7年度以降は月額賃金改善要件Ⅱが必要。</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5" t="str">
        <f>IF(OR(V11="新加算Ⅰ",V11="新加算Ⅱ",V11="新加算Ⅲ",V11="新加算Ⅴ(１)",V11="新加算Ⅴ(３)",V11="新加算Ⅴ(８)"),"○","")</f>
        <v>○</v>
      </c>
      <c r="AX11" s="1205" t="str">
        <f>IF(OR(V11="新加算Ⅰ",V11="新加算Ⅱ",V11="新加算Ⅴ(１)",V11="新加算Ⅴ(２)",V11="新加算Ⅴ(３)",V11="新加算Ⅴ(４)",V11="新加算Ⅴ(５)",V11="新加算Ⅴ(６)",V11="新加算Ⅴ(７)",V11="新加算Ⅴ(９)",V11="新加算Ⅴ(10)",V11="新加算Ⅴ(12)"),"○","")</f>
        <v>○</v>
      </c>
      <c r="AY11" s="1205" t="str">
        <f>IF(OR(V11="新加算Ⅰ",V11="新加算Ⅴ(１)",V11="新加算Ⅴ(２)",V11="新加算Ⅴ(５)",V11="新加算Ⅴ(７)",V11="新加算Ⅴ(10)"),"○","")</f>
        <v>○</v>
      </c>
      <c r="AZ11" s="1205"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0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2"/>
      <c r="D12" s="1102"/>
      <c r="E12" s="1102"/>
      <c r="F12" s="1102"/>
      <c r="G12" s="1102"/>
      <c r="H12" s="1102"/>
      <c r="I12" s="1102"/>
      <c r="J12" s="1102"/>
      <c r="K12" s="1102"/>
      <c r="L12" s="1102"/>
      <c r="M12" s="1102"/>
      <c r="N12" s="1102"/>
      <c r="O12" s="1102"/>
      <c r="P12" s="1102"/>
      <c r="Q12" s="1102"/>
      <c r="R12" s="1102"/>
      <c r="S12" s="1102"/>
      <c r="T12" s="1047"/>
      <c r="U12" s="1023"/>
      <c r="V12" s="1074">
        <f>IFERROR(VLOOKUP(Y5,【参考】数式用!$A$5:$AB$37,MATCH(V11,【参考】数式用!$B$4:$AB$4,0)+1,FALSE),"")</f>
        <v>0.13100000000000001</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102"/>
      <c r="V14" s="1075" t="str">
        <f>IFERROR(IF(VLOOKUP(AS1,【参考】数式用2!E6:L23,7,FALSE)="","",VLOOKUP(AS1,【参考】数式用2!E6:L23,7,FALSE)),"")</f>
        <v/>
      </c>
      <c r="W14" s="1075"/>
      <c r="X14" s="1075"/>
      <c r="Y14" s="1075"/>
      <c r="Z14" s="1075"/>
      <c r="AA14" s="1025">
        <f>IFERROR(VLOOKUP(AS1,【参考】数式用2!E6:L23,8,FALSE),"")</f>
        <v>0</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103" t="s">
        <v>2111</v>
      </c>
      <c r="F15" s="54">
        <v>4</v>
      </c>
      <c r="G15" s="103" t="s">
        <v>2112</v>
      </c>
      <c r="H15" s="1059" t="s">
        <v>2113</v>
      </c>
      <c r="I15" s="1059"/>
      <c r="J15" s="1072"/>
      <c r="K15" s="54">
        <v>7</v>
      </c>
      <c r="L15" s="103" t="s">
        <v>2111</v>
      </c>
      <c r="M15" s="54">
        <v>3</v>
      </c>
      <c r="N15" s="103" t="s">
        <v>2112</v>
      </c>
      <c r="O15" s="103" t="s">
        <v>2114</v>
      </c>
      <c r="P15" s="104">
        <f>(K15*12+M15)-(D15*12+F15)+1</f>
        <v>12</v>
      </c>
      <c r="Q15" s="1059" t="s">
        <v>2115</v>
      </c>
      <c r="R15" s="1059"/>
      <c r="S15" s="105" t="s">
        <v>69</v>
      </c>
      <c r="U15" s="102"/>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11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119" t="str">
        <f>IFERROR(IF(OR(B9="処遇加算Ⅰ",B9="処遇加算Ⅱ"),"✓",""),"")</f>
        <v>✓</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119"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119"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119" t="str">
        <f>IFERROR(IF(OR(B9="処遇加算Ⅰ",B9="処遇加算Ⅱ"),"✓",""),"")</f>
        <v>✓</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119"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119"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119" t="str">
        <f>IFERROR(IF(B9="処遇加算Ⅰ","✓",""),"")</f>
        <v>✓</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119"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119" t="str">
        <f>IFERROR(IF(OR(G9="特定加算Ⅰ",G9="特定加算Ⅱ"),"✓",""),"")</f>
        <v>✓</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119" t="str">
        <f>IFERROR(IF(G9="特定加算なし","✓",""),"")</f>
        <v/>
      </c>
      <c r="W37" s="1053" t="s">
        <v>15</v>
      </c>
      <c r="X37" s="1054"/>
      <c r="Y37" s="1054"/>
      <c r="Z37" s="1055"/>
      <c r="AA37" s="1022"/>
      <c r="AB37" s="1023"/>
      <c r="AC37" s="1048" t="s">
        <v>2176</v>
      </c>
      <c r="AD37" s="1049"/>
      <c r="AE37" s="1049"/>
      <c r="AF37" s="1049"/>
      <c r="AG37" s="1050">
        <v>0</v>
      </c>
      <c r="AH37" s="1051"/>
      <c r="AI37" s="1022"/>
      <c r="AJ37" s="1023"/>
      <c r="AK37" s="1048" t="s">
        <v>2176</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対象加算なし（自動的に要件を満たす）</v>
      </c>
      <c r="H40" s="1077"/>
      <c r="I40" s="1077"/>
      <c r="J40" s="1077"/>
      <c r="K40" s="1077"/>
      <c r="L40" s="1077"/>
      <c r="M40" s="1077"/>
      <c r="N40" s="1077"/>
      <c r="O40" s="1077"/>
      <c r="P40" s="1077"/>
      <c r="Q40" s="1077"/>
      <c r="R40" s="1077"/>
      <c r="S40" s="1077"/>
      <c r="T40" s="1078"/>
      <c r="U40" s="92"/>
      <c r="V40" s="119" t="str">
        <f>IFERROR(IF(G9="特定加算Ⅰ","✓",""),"")</f>
        <v>✓</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119" t="str">
        <f>IFERROR(IF(OR(G9="特定加算Ⅱ",G9="特定加算なし"),"✓",""),"")</f>
        <v/>
      </c>
      <c r="W41" s="1053" t="s">
        <v>15</v>
      </c>
      <c r="X41" s="1054"/>
      <c r="Y41" s="1054"/>
      <c r="Z41" s="1055"/>
      <c r="AA41" s="1022"/>
      <c r="AB41" s="1023"/>
      <c r="AC41" s="134" t="s">
        <v>83</v>
      </c>
      <c r="AD41" s="1160" t="s">
        <v>2283</v>
      </c>
      <c r="AE41" s="1161"/>
      <c r="AF41" s="1161"/>
      <c r="AG41" s="1161"/>
      <c r="AH41" s="1162"/>
      <c r="AI41" s="1022"/>
      <c r="AJ41" s="1023"/>
      <c r="AK41" s="134" t="s">
        <v>83</v>
      </c>
      <c r="AL41" s="1160" t="s">
        <v>2283</v>
      </c>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2374</v>
      </c>
      <c r="H44" s="1077"/>
      <c r="I44" s="1077"/>
      <c r="J44" s="1077"/>
      <c r="K44" s="1077"/>
      <c r="L44" s="1077"/>
      <c r="M44" s="1077"/>
      <c r="N44" s="1077"/>
      <c r="O44" s="1077"/>
      <c r="P44" s="1077"/>
      <c r="Q44" s="1077"/>
      <c r="R44" s="1077"/>
      <c r="S44" s="1077"/>
      <c r="T44" s="1078"/>
      <c r="U44" s="118"/>
      <c r="V44" s="119" t="str">
        <f>IFERROR(IF(OR(G9="特定加算Ⅰ",G9="特定加算Ⅱ"),"✓",""),"")</f>
        <v>✓</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119"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処遇加算Ⅰ</v>
      </c>
      <c r="AT48" s="1040"/>
      <c r="AU48" s="1040"/>
      <c r="AV48" s="1040"/>
      <c r="AW48" s="1040" t="str">
        <f>IFERROR(IF(AND(OR(AP61=1,AP61=2),AP62=1,AP63=1),"特定加算Ⅰ",IF(AND(OR(AP61=1,AP61=2),AP62=2,AP63=1),"特定加算Ⅱ",IF(OR(AP61=3,AP62=2,AP63=2),"特定加算なし",""))),"")</f>
        <v>特定加算Ⅰ</v>
      </c>
      <c r="AX48" s="1040"/>
      <c r="AY48" s="1040"/>
      <c r="AZ48" s="1040"/>
      <c r="BA48" s="1040" t="str">
        <f>IFERROR(IF(OR(L9="ベア加算",AP57=1),"ベア加算",IF(AP57=2,"ベア加算なし","")),"")</f>
        <v>ベア加算</v>
      </c>
      <c r="BB48" s="1040"/>
      <c r="BC48" s="1040"/>
      <c r="BD48" s="1040"/>
      <c r="BE48" s="1041" t="str">
        <f>AS48&amp;AW48&amp;BA48</f>
        <v>処遇加算Ⅰ特定加算Ⅰベア加算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処遇加算Ⅰ</v>
      </c>
      <c r="H49" s="1164"/>
      <c r="I49" s="1164"/>
      <c r="J49" s="1164"/>
      <c r="K49" s="1189"/>
      <c r="L49" s="1194" t="str">
        <f>IFERROR(IF(G9="","",IF(AND(OR(AH61=1,AH61=2),AH62=1,AH63=1),"特定加算Ⅰ",IF(AND(OR(AH61=1,AH61=2),AH62=2,AH63=1),"特定加算Ⅱ",IF(OR(AH61=3,AH62=2,AH63=2),"特定加算なし","")))),"")</f>
        <v>特定加算Ⅰ</v>
      </c>
      <c r="M49" s="1195"/>
      <c r="N49" s="1195"/>
      <c r="O49" s="1195"/>
      <c r="P49" s="1196"/>
      <c r="Q49" s="1163" t="str">
        <f>IFERROR(IF(OR(L9="ベア加算",AND(L9="ベア加算なし",AH57=1)),"ベア加算",IF(AH57=2,"ベア加算なし","")),"")</f>
        <v>ベア加算</v>
      </c>
      <c r="R49" s="1164"/>
      <c r="S49" s="1164"/>
      <c r="T49" s="1164"/>
      <c r="U49" s="1165"/>
      <c r="V49" s="1166" t="s">
        <v>10</v>
      </c>
      <c r="W49" s="1167"/>
      <c r="X49" s="1167"/>
      <c r="Y49" s="1167"/>
      <c r="Z49" s="1167"/>
      <c r="AA49" s="1047"/>
      <c r="AB49" s="1047"/>
      <c r="AC49" s="1173" t="str">
        <f>IFERROR(VLOOKUP(BE48,【参考】数式用2!E6:F23,2,FALSE),"")</f>
        <v>新加算Ⅰ</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f>IFERROR(VLOOKUP(Y5,【参考】数式用!$A$5:$J$37,MATCH(G49,【参考】数式用!$B$4:$J$4,0)+1,0),"")</f>
        <v>8.5999999999999993E-2</v>
      </c>
      <c r="H50" s="1177"/>
      <c r="I50" s="1177"/>
      <c r="J50" s="1177"/>
      <c r="K50" s="1178"/>
      <c r="L50" s="1179">
        <f>IFERROR(VLOOKUP(Y5,【参考】数式用!$A$5:$J$37,MATCH(L49,【参考】数式用!$B$4:$J$4,0)+1,0),"")</f>
        <v>2.1000000000000001E-2</v>
      </c>
      <c r="M50" s="1180"/>
      <c r="N50" s="1180"/>
      <c r="O50" s="1180"/>
      <c r="P50" s="1181"/>
      <c r="Q50" s="1182">
        <f>IFERROR(VLOOKUP(Y5,【参考】数式用!$A$5:$J$37,MATCH(Q49,【参考】数式用!$B$4:$J$4,0)+1,0),"")</f>
        <v>2.8000000000000001E-2</v>
      </c>
      <c r="R50" s="1177"/>
      <c r="S50" s="1177"/>
      <c r="T50" s="1177"/>
      <c r="U50" s="1183"/>
      <c r="V50" s="1145">
        <f>SUM(G50,L50,Q50)</f>
        <v>0.13500000000000001</v>
      </c>
      <c r="W50" s="1146"/>
      <c r="X50" s="1146"/>
      <c r="Y50" s="1146"/>
      <c r="Z50" s="1146"/>
      <c r="AA50" s="1047"/>
      <c r="AB50" s="1047"/>
      <c r="AC50" s="1184">
        <f>IFERROR(VLOOKUP(Y5,【参考】数式用!$A$5:$AB$37,MATCH(AC49,【参考】数式用!$B$4:$AB$4,0)+1,FALSE),"")</f>
        <v>0.159</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7" t="s">
        <v>2054</v>
      </c>
      <c r="BW50" s="1198"/>
      <c r="BX50" s="1198"/>
      <c r="BY50" s="1198"/>
      <c r="BZ50" s="1198"/>
      <c r="CA50" s="1199"/>
      <c r="CD50" s="142"/>
    </row>
    <row r="51" spans="2:86" ht="17.25" customHeight="1">
      <c r="B51" s="1170" t="s">
        <v>2121</v>
      </c>
      <c r="C51" s="1171"/>
      <c r="D51" s="1171"/>
      <c r="E51" s="1171"/>
      <c r="F51" s="1172"/>
      <c r="G51" s="1092">
        <f>IFERROR(ROUNDDOWN(ROUND(AM5*G50,0),0)*H53,"")</f>
        <v>318200</v>
      </c>
      <c r="H51" s="1092"/>
      <c r="I51" s="1092"/>
      <c r="J51" s="1092"/>
      <c r="K51" s="55" t="s">
        <v>2117</v>
      </c>
      <c r="L51" s="1089">
        <f>IFERROR(ROUNDDOWN(ROUND(AM5*L50,0),0)*H53,"")</f>
        <v>77700</v>
      </c>
      <c r="M51" s="1090"/>
      <c r="N51" s="1090"/>
      <c r="O51" s="1090"/>
      <c r="P51" s="55" t="s">
        <v>2117</v>
      </c>
      <c r="Q51" s="1091">
        <f>IFERROR(ROUNDDOWN(ROUND(AM5*Q50,0),0)*H53,"")</f>
        <v>103600</v>
      </c>
      <c r="R51" s="1092"/>
      <c r="S51" s="1092"/>
      <c r="T51" s="1092"/>
      <c r="U51" s="56" t="s">
        <v>2117</v>
      </c>
      <c r="V51" s="1192">
        <f>IFERROR(SUM(G51,L51,Q51),"")</f>
        <v>499500</v>
      </c>
      <c r="W51" s="1193"/>
      <c r="X51" s="1193"/>
      <c r="Y51" s="1193"/>
      <c r="Z51" s="57" t="s">
        <v>2117</v>
      </c>
      <c r="AB51" s="58"/>
      <c r="AC51" s="1091">
        <f>IFERROR(ROUNDDOWN(ROUND(AM5*AC50,0),0)*AD53,"")</f>
        <v>2941500</v>
      </c>
      <c r="AD51" s="1092"/>
      <c r="AE51" s="1092"/>
      <c r="AF51" s="1092"/>
      <c r="AG51" s="1092"/>
      <c r="AH51" s="56" t="s">
        <v>2117</v>
      </c>
      <c r="AS51" s="1042">
        <f>IFERROR(ROUNDDOWN(ROUND(AM5*(G50-B10),0),0)*H53,"")</f>
        <v>0</v>
      </c>
      <c r="AT51" s="1042"/>
      <c r="AU51" s="1042"/>
      <c r="AV51" s="1042"/>
      <c r="AW51" s="1042">
        <f>IFERROR(ROUNDDOWN(ROUND(AM5*(L50-G10),0),0)*H53,"")</f>
        <v>0</v>
      </c>
      <c r="AX51" s="1042"/>
      <c r="AY51" s="1042"/>
      <c r="AZ51" s="1042"/>
      <c r="BA51" s="1042">
        <f>IFERROR(ROUNDDOWN(ROUND(AM5*(Q50-L10),0),0)*H53,"")</f>
        <v>103600</v>
      </c>
      <c r="BB51" s="1042"/>
      <c r="BC51" s="1042"/>
      <c r="BD51" s="1042"/>
      <c r="BE51" s="1042">
        <f>IFERROR(ROUNDDOWN(ROUND(AM5*(AC50-Q10),0),0)*AD53,"")</f>
        <v>962000</v>
      </c>
      <c r="BF51" s="1042"/>
      <c r="BG51" s="1042"/>
      <c r="BH51" s="1042"/>
      <c r="BI51" s="1042">
        <f>SUM(AS51:BH51)</f>
        <v>1065600</v>
      </c>
      <c r="BJ51" s="1042"/>
      <c r="BK51" s="1042"/>
      <c r="BL51" s="1042"/>
      <c r="BM51" s="141"/>
      <c r="BN51" s="1042">
        <f>IFERROR(ROUNDDOWN(ROUNDDOWN(ROUND(AM5*(VLOOKUP(Y5,【参考】数式用!$A$5:$AB$37,14,FALSE)),0),0)*AD53*0.5,0),"")</f>
        <v>1063750</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(159,100円/月)</v>
      </c>
      <c r="H52" s="1088"/>
      <c r="I52" s="1088"/>
      <c r="J52" s="1088"/>
      <c r="K52" s="1088"/>
      <c r="L52" s="1190" t="str">
        <f>IFERROR("("&amp;TEXT(L51/H53,"#,##0円")&amp;"/月)","")</f>
        <v>(38,850円/月)</v>
      </c>
      <c r="M52" s="1191"/>
      <c r="N52" s="1191"/>
      <c r="O52" s="1191"/>
      <c r="P52" s="1087"/>
      <c r="Q52" s="1088" t="str">
        <f>IFERROR("("&amp;TEXT(Q51/H53,"#,##0円")&amp;"/月)","")</f>
        <v>(51,800円/月)</v>
      </c>
      <c r="R52" s="1088"/>
      <c r="S52" s="1088"/>
      <c r="T52" s="1088"/>
      <c r="U52" s="1088"/>
      <c r="V52" s="1088" t="str">
        <f>IFERROR("("&amp;TEXT(V51/H53,"#,##0円")&amp;"/月)","")</f>
        <v>(249,750円/月)</v>
      </c>
      <c r="W52" s="1088"/>
      <c r="X52" s="1088"/>
      <c r="Y52" s="1088"/>
      <c r="Z52" s="1088"/>
      <c r="AB52" s="58"/>
      <c r="AC52" s="1190" t="str">
        <f>IFERROR("("&amp;TEXT(AC51/AD53,"#,##0円")&amp;"/月)","")</f>
        <v>(294,150円/月)</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216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2055</v>
      </c>
      <c r="V57" s="1038"/>
      <c r="W57" s="1038"/>
      <c r="X57" s="1038"/>
      <c r="Y57" s="1038"/>
      <c r="Z57" s="152">
        <f>IF(AND(B9&lt;&gt;"処遇加算なし",F15=4),IF(V21="✓",1,IF(V22="✓",2,"")),"")</f>
        <v>2</v>
      </c>
      <c r="AA57" s="145"/>
      <c r="AB57" s="149"/>
      <c r="AC57" s="1038" t="s">
        <v>2055</v>
      </c>
      <c r="AD57" s="1038"/>
      <c r="AE57" s="1038"/>
      <c r="AF57" s="1038"/>
      <c r="AG57" s="1038"/>
      <c r="AH57" s="425">
        <f>IF(AND(F15&lt;&gt;4,F15&lt;&gt;5),0,IF(AT8="○",1,0))</f>
        <v>1</v>
      </c>
      <c r="AI57" s="153"/>
      <c r="AJ57" s="149"/>
      <c r="AK57" s="1038" t="s">
        <v>2055</v>
      </c>
      <c r="AL57" s="1038"/>
      <c r="AM57" s="1038"/>
      <c r="AN57" s="1038"/>
      <c r="AO57" s="1038"/>
      <c r="AP57" s="425">
        <f>IF(AT8="○",1,0)</f>
        <v>1</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2056</v>
      </c>
      <c r="V58" s="1046"/>
      <c r="W58" s="1046"/>
      <c r="X58" s="1046"/>
      <c r="Y58" s="1046"/>
      <c r="Z58" s="152">
        <f>IF(AND(B9&lt;&gt;"処遇加算なし",F15=4),IF(V24="✓",1,IF(V25="✓",2,IF(V26="✓",3,""))),"")</f>
        <v>1</v>
      </c>
      <c r="AA58" s="145"/>
      <c r="AB58" s="149"/>
      <c r="AC58" s="1046" t="s">
        <v>2056</v>
      </c>
      <c r="AD58" s="1046"/>
      <c r="AE58" s="1046"/>
      <c r="AF58" s="1046"/>
      <c r="AG58" s="1046"/>
      <c r="AH58" s="425">
        <f>IF(AND(F15&lt;&gt;4,F15&lt;&gt;5),0,IF(AU8="○",1,3))</f>
        <v>1</v>
      </c>
      <c r="AI58" s="153"/>
      <c r="AJ58" s="149"/>
      <c r="AK58" s="1046" t="s">
        <v>2056</v>
      </c>
      <c r="AL58" s="1046"/>
      <c r="AM58" s="1046"/>
      <c r="AN58" s="1046"/>
      <c r="AO58" s="1046"/>
      <c r="AP58" s="425">
        <f>IF(AU8="○",1,3)</f>
        <v>1</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2057</v>
      </c>
      <c r="V59" s="1046"/>
      <c r="W59" s="1046"/>
      <c r="X59" s="1046"/>
      <c r="Y59" s="1046"/>
      <c r="Z59" s="152">
        <f>IF(AND(B9&lt;&gt;"処遇加算なし",F15=4),IF(V28="✓",1,IF(V29="✓",2,IF(V30="✓",3,""))),"")</f>
        <v>1</v>
      </c>
      <c r="AA59" s="145"/>
      <c r="AB59" s="149"/>
      <c r="AC59" s="1046" t="s">
        <v>2057</v>
      </c>
      <c r="AD59" s="1046"/>
      <c r="AE59" s="1046"/>
      <c r="AF59" s="1046"/>
      <c r="AG59" s="1046"/>
      <c r="AH59" s="425">
        <f>IF(AND(F15&lt;&gt;4,F15&lt;&gt;5),0,IF(AV8="○",1,3))</f>
        <v>1</v>
      </c>
      <c r="AI59" s="153"/>
      <c r="AJ59" s="149"/>
      <c r="AK59" s="1046" t="s">
        <v>2057</v>
      </c>
      <c r="AL59" s="1046"/>
      <c r="AM59" s="1046"/>
      <c r="AN59" s="1046"/>
      <c r="AO59" s="1046"/>
      <c r="AP59" s="425">
        <f>IF(AV8="○",1,3)</f>
        <v>1</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2058</v>
      </c>
      <c r="V60" s="1046"/>
      <c r="W60" s="1046"/>
      <c r="X60" s="1046"/>
      <c r="Y60" s="1046"/>
      <c r="Z60" s="152">
        <f>IF(AND(B9&lt;&gt;"処遇加算なし",F15=4),IF(V32="✓",1,IF(V33="✓",2,"")),"")</f>
        <v>1</v>
      </c>
      <c r="AA60" s="145"/>
      <c r="AB60" s="149"/>
      <c r="AC60" s="1046" t="s">
        <v>2058</v>
      </c>
      <c r="AD60" s="1046"/>
      <c r="AE60" s="1046"/>
      <c r="AF60" s="1046"/>
      <c r="AG60" s="1046"/>
      <c r="AH60" s="425">
        <f>IF(AND(F15&lt;&gt;4,F15&lt;&gt;5),0,IF(AW8="○",1,3))</f>
        <v>1</v>
      </c>
      <c r="AI60" s="153"/>
      <c r="AJ60" s="149"/>
      <c r="AK60" s="1046" t="s">
        <v>2058</v>
      </c>
      <c r="AL60" s="1046"/>
      <c r="AM60" s="1046"/>
      <c r="AN60" s="1046"/>
      <c r="AO60" s="1046"/>
      <c r="AP60" s="425">
        <f>IF(AW8="○",1,3)</f>
        <v>1</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2059</v>
      </c>
      <c r="V61" s="1046"/>
      <c r="W61" s="1046"/>
      <c r="X61" s="1046"/>
      <c r="Y61" s="1046"/>
      <c r="Z61" s="152">
        <f>IF(AND(B9&lt;&gt;"処遇加算なし",F15=4),IF(V36="✓",1,IF(V37="✓",2,"")),"")</f>
        <v>1</v>
      </c>
      <c r="AA61" s="145"/>
      <c r="AB61" s="149"/>
      <c r="AC61" s="1046" t="s">
        <v>2059</v>
      </c>
      <c r="AD61" s="1046"/>
      <c r="AE61" s="1046"/>
      <c r="AF61" s="1046"/>
      <c r="AG61" s="1046"/>
      <c r="AH61" s="425">
        <f>IF(AND(F15&lt;&gt;4,F15&lt;&gt;5),0,IF(AX8="○",1,2))</f>
        <v>1</v>
      </c>
      <c r="AI61" s="153"/>
      <c r="AJ61" s="149"/>
      <c r="AK61" s="1046" t="s">
        <v>2059</v>
      </c>
      <c r="AL61" s="1046"/>
      <c r="AM61" s="1046"/>
      <c r="AN61" s="1046"/>
      <c r="AO61" s="1046"/>
      <c r="AP61" s="425">
        <f>IF(AX8="○",1,2)</f>
        <v>1</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2060</v>
      </c>
      <c r="V62" s="1046"/>
      <c r="W62" s="1046"/>
      <c r="X62" s="1046"/>
      <c r="Y62" s="1046"/>
      <c r="Z62" s="152">
        <f>IF(AND(B9&lt;&gt;"処遇加算なし",F15=4),IF(V40="✓",1,IF(V41="✓",2,"")),"")</f>
        <v>1</v>
      </c>
      <c r="AA62" s="145"/>
      <c r="AB62" s="149"/>
      <c r="AC62" s="1046" t="s">
        <v>2060</v>
      </c>
      <c r="AD62" s="1046"/>
      <c r="AE62" s="1046"/>
      <c r="AF62" s="1046"/>
      <c r="AG62" s="1046"/>
      <c r="AH62" s="425">
        <f>IF(AND(F15&lt;&gt;4,F15&lt;&gt;5),0,IF(AY8="○",1,2))</f>
        <v>1</v>
      </c>
      <c r="AI62" s="153"/>
      <c r="AJ62" s="149"/>
      <c r="AK62" s="1046" t="s">
        <v>2060</v>
      </c>
      <c r="AL62" s="1046"/>
      <c r="AM62" s="1046"/>
      <c r="AN62" s="1046"/>
      <c r="AO62" s="1046"/>
      <c r="AP62" s="425">
        <f>IF(AY8="○",1,2)</f>
        <v>1</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2061</v>
      </c>
      <c r="V63" s="1038"/>
      <c r="W63" s="1038"/>
      <c r="X63" s="1038"/>
      <c r="Y63" s="1038"/>
      <c r="Z63" s="152">
        <f>IF(AND(B9&lt;&gt;"処遇加算なし",F15=4),IF(V44="✓",1,IF(V45="✓",2,"")),"")</f>
        <v>1</v>
      </c>
      <c r="AA63" s="145"/>
      <c r="AB63" s="149"/>
      <c r="AC63" s="1038" t="s">
        <v>2061</v>
      </c>
      <c r="AD63" s="1038"/>
      <c r="AE63" s="1038"/>
      <c r="AF63" s="1038"/>
      <c r="AG63" s="1038"/>
      <c r="AH63" s="425">
        <f>IF(AND(F15&lt;&gt;4,F15&lt;&gt;5),0,IF(AZ8="○",1,2))</f>
        <v>1</v>
      </c>
      <c r="AI63" s="153"/>
      <c r="AJ63" s="149"/>
      <c r="AK63" s="1038" t="s">
        <v>2061</v>
      </c>
      <c r="AL63" s="1038"/>
      <c r="AM63" s="1038"/>
      <c r="AN63" s="1038"/>
      <c r="AO63" s="1038"/>
      <c r="AP63" s="425">
        <f>IF(AZ8="○",1,2)</f>
        <v>1</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F576" sheet="1" formatCells="0" formatColumns="0" formatRows="0" selectLockedCells="1" selectUnlockedCells="1"/>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AD38:AH38"/>
    <mergeCell ref="AL38:AP38"/>
    <mergeCell ref="AD36:AH36"/>
    <mergeCell ref="AI36:AJ38"/>
    <mergeCell ref="AL36:AP36"/>
    <mergeCell ref="AC37:AF37"/>
    <mergeCell ref="AG37:AH37"/>
    <mergeCell ref="AK37:AN37"/>
    <mergeCell ref="AO37:AP37"/>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56:AP56"/>
    <mergeCell ref="AK63:AO63"/>
    <mergeCell ref="AS63:AV63"/>
    <mergeCell ref="AS56:AV56"/>
    <mergeCell ref="AC57:AG57"/>
    <mergeCell ref="AC62:AG62"/>
    <mergeCell ref="AC56:AH56"/>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J73"/>
  <sheetViews>
    <sheetView showGridLines="0" view="pageBreakPreview" zoomScaleNormal="53" zoomScaleSheetLayoutView="100" workbookViewId="0">
      <selection activeCell="AD24" sqref="AD24:AH2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2325</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東京都</v>
      </c>
      <c r="AJ1" s="1204"/>
      <c r="AK1" s="1204"/>
      <c r="AL1" s="1204"/>
      <c r="AM1" s="1204"/>
      <c r="AN1" s="1204"/>
      <c r="AO1" s="1204"/>
      <c r="AP1" s="1204"/>
      <c r="AS1" s="1034" t="str">
        <f>B9&amp;G9&amp;L9</f>
        <v>処遇加算Ⅲ特定加算なしベア加算</v>
      </c>
      <c r="AT1" s="1035"/>
      <c r="AU1" s="1035"/>
      <c r="AV1" s="1035"/>
      <c r="AW1" s="1035"/>
      <c r="AX1" s="1035"/>
      <c r="AY1" s="1035"/>
      <c r="AZ1" s="1035"/>
      <c r="BA1" s="1035"/>
      <c r="BB1" s="1035"/>
      <c r="BC1" s="1035"/>
      <c r="BD1" s="1035"/>
      <c r="BE1" s="1036"/>
      <c r="BF1" s="1033" t="str">
        <f>IFERROR(VLOOKUP(Y5,【参考】数式用!$AH$2:$AI$34,2,FALSE),"")</f>
        <v>生活介護</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8"/>
      <c r="AR2" s="438"/>
      <c r="CE2" s="992" t="s">
        <v>2193</v>
      </c>
      <c r="CF2" s="992"/>
      <c r="CG2" s="992"/>
      <c r="CH2" s="992"/>
      <c r="CI2" s="1208">
        <f>IF(AI1&lt;&gt;"",1,"")</f>
        <v>1</v>
      </c>
      <c r="CJ2" s="1209"/>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0">
        <f>IF(AND(L9="ベア加算",Q49="ベア加算"),1,"")</f>
        <v>1</v>
      </c>
      <c r="CJ3" s="1211"/>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3">
        <v>1334567890</v>
      </c>
      <c r="C5" s="1103"/>
      <c r="D5" s="1103"/>
      <c r="E5" s="1103"/>
      <c r="F5" s="1103"/>
      <c r="G5" s="1104" t="s">
        <v>2344</v>
      </c>
      <c r="H5" s="1104"/>
      <c r="I5" s="1104"/>
      <c r="J5" s="1105" t="s">
        <v>4</v>
      </c>
      <c r="K5" s="1105"/>
      <c r="L5" s="1105"/>
      <c r="M5" s="1106" t="s">
        <v>5</v>
      </c>
      <c r="N5" s="1106"/>
      <c r="O5" s="1106"/>
      <c r="P5" s="1009" t="s">
        <v>2352</v>
      </c>
      <c r="Q5" s="1010"/>
      <c r="R5" s="1010"/>
      <c r="S5" s="1010"/>
      <c r="T5" s="1010"/>
      <c r="U5" s="1010"/>
      <c r="V5" s="1010"/>
      <c r="W5" s="1010"/>
      <c r="X5" s="1011"/>
      <c r="Y5" s="1086" t="s">
        <v>2249</v>
      </c>
      <c r="Z5" s="1086"/>
      <c r="AA5" s="1086"/>
      <c r="AB5" s="1086"/>
      <c r="AC5" s="1086"/>
      <c r="AD5" s="1086"/>
      <c r="AE5" s="997">
        <v>3850000</v>
      </c>
      <c r="AF5" s="998"/>
      <c r="AG5" s="998"/>
      <c r="AH5" s="999"/>
      <c r="AI5" s="997">
        <v>800000</v>
      </c>
      <c r="AJ5" s="998"/>
      <c r="AK5" s="998"/>
      <c r="AL5" s="999"/>
      <c r="AM5" s="1000">
        <f>AE5-AI5</f>
        <v>3050000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2188</v>
      </c>
      <c r="CF7" s="1212"/>
      <c r="CG7" s="1212"/>
      <c r="CH7" s="1212"/>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新加算Ⅲ</v>
      </c>
      <c r="W8" s="1004"/>
      <c r="X8" s="1004"/>
      <c r="Y8" s="1004"/>
      <c r="Z8" s="1005"/>
      <c r="AA8" s="993"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5" t="str">
        <f>IF(OR(V8="新加算Ⅰ",V8="新加算Ⅱ",V8="新加算Ⅲ",V8="新加算Ⅴ(１)",V8="新加算Ⅴ(３)",V8="新加算Ⅴ(８)"),"○","")</f>
        <v>○</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2188</v>
      </c>
      <c r="CF8" s="1212"/>
      <c r="CG8" s="1212"/>
      <c r="CH8" s="1212"/>
      <c r="CI8" s="990" t="str">
        <f>IF(AND(AP62=1,AL41=""),1,"")</f>
        <v/>
      </c>
      <c r="CJ8" s="991"/>
    </row>
    <row r="9" spans="1:88" ht="26.25" customHeight="1">
      <c r="B9" s="1124" t="s">
        <v>232</v>
      </c>
      <c r="C9" s="1125"/>
      <c r="D9" s="1125"/>
      <c r="E9" s="1125"/>
      <c r="F9" s="1126"/>
      <c r="G9" s="1127" t="s">
        <v>11</v>
      </c>
      <c r="H9" s="1128"/>
      <c r="I9" s="1128"/>
      <c r="J9" s="1128"/>
      <c r="K9" s="1129"/>
      <c r="L9" s="1130" t="s">
        <v>13</v>
      </c>
      <c r="M9" s="1131"/>
      <c r="N9" s="1131"/>
      <c r="O9" s="1131"/>
      <c r="P9" s="1132"/>
      <c r="Q9" s="1107" t="s">
        <v>2052</v>
      </c>
      <c r="R9" s="1108"/>
      <c r="S9" s="1108"/>
      <c r="T9" s="1022"/>
      <c r="U9" s="1023"/>
      <c r="V9" s="1006">
        <f>IFERROR(VLOOKUP(Y5,【参考】数式用!$A$5:$AB$37,MATCH(V8,【参考】数式用!$B$4:$AB$4,0)+1,FALSE),"")</f>
        <v>6.699999999999999E-2</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2188</v>
      </c>
      <c r="CF9" s="992"/>
      <c r="CG9" s="992"/>
      <c r="CH9" s="992"/>
      <c r="CI9" s="990" t="str">
        <f>IF(OR(AH62=1,AP62=1),1,"")</f>
        <v/>
      </c>
      <c r="CJ9" s="991"/>
    </row>
    <row r="10" spans="1:88" ht="11.25" customHeight="1">
      <c r="B10" s="1133">
        <f>IFERROR(VLOOKUP(Y5,【参考】数式用!$A$5:$J$37,MATCH(B9,【参考】数式用!$B$4:$J$4,0)+1,0),"")</f>
        <v>1.7999999999999999E-2</v>
      </c>
      <c r="C10" s="1134"/>
      <c r="D10" s="1134"/>
      <c r="E10" s="1134"/>
      <c r="F10" s="1135"/>
      <c r="G10" s="1133">
        <f>IFERROR(VLOOKUP(Y5,【参考】数式用!$A$5:$J$37,MATCH(G9,【参考】数式用!$B$4:$J$4,0)+1,0),"")</f>
        <v>0</v>
      </c>
      <c r="H10" s="1134"/>
      <c r="I10" s="1134"/>
      <c r="J10" s="1134"/>
      <c r="K10" s="1135"/>
      <c r="L10" s="1139">
        <f>IFERROR(VLOOKUP(Y5,【参考】数式用!$A$5:$J$37,MATCH(L9,【参考】数式用!$B$4:$J$4,0)+1,0),"")</f>
        <v>1.0999999999999999E-2</v>
      </c>
      <c r="M10" s="1140"/>
      <c r="N10" s="1140"/>
      <c r="O10" s="1140"/>
      <c r="P10" s="1141"/>
      <c r="Q10" s="1145">
        <f>SUM(B10,G10,L10)</f>
        <v>2.8999999999999998E-2</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新加算Ⅳ</v>
      </c>
      <c r="W11" s="1075"/>
      <c r="X11" s="1075"/>
      <c r="Y11" s="1075"/>
      <c r="Z11" s="1075"/>
      <c r="AA11" s="993" t="str">
        <f>IFERROR(VLOOKUP(AS1,【参考】数式用2!E6:L23,6,FALSE),"")</f>
        <v>キャリアパス要件Ⅰ・Ⅱを「R6年度中の対応の誓約」で満たし、４月から旧処遇加算Ⅱを算定可。その場合、６月以降は自然と新加算Ⅳに移行可能。</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2"/>
      <c r="D12" s="1102"/>
      <c r="E12" s="1102"/>
      <c r="F12" s="1102"/>
      <c r="G12" s="1102"/>
      <c r="H12" s="1102"/>
      <c r="I12" s="1102"/>
      <c r="J12" s="1102"/>
      <c r="K12" s="1102"/>
      <c r="L12" s="1102"/>
      <c r="M12" s="1102"/>
      <c r="N12" s="1102"/>
      <c r="O12" s="1102"/>
      <c r="P12" s="1102"/>
      <c r="Q12" s="1102"/>
      <c r="R12" s="1102"/>
      <c r="S12" s="1102"/>
      <c r="T12" s="1047"/>
      <c r="U12" s="1023"/>
      <c r="V12" s="1074">
        <f>IFERROR(VLOOKUP(Y5,【参考】数式用!$A$5:$AB$37,MATCH(V11,【参考】数式用!$B$4:$AB$4,0)+1,FALSE),"")</f>
        <v>5.4999999999999993E-2</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5"/>
      <c r="V14" s="1075" t="str">
        <f>IFERROR(IF(VLOOKUP(AS1,【参考】数式用2!E6:L23,7,FALSE)="","",VLOOKUP(AS1,【参考】数式用2!E6:L23,7,FALSE)),"")</f>
        <v>新加算Ⅴ(13)</v>
      </c>
      <c r="W14" s="1075"/>
      <c r="X14" s="1075"/>
      <c r="Y14" s="1075"/>
      <c r="Z14" s="1075"/>
      <c r="AA14" s="1025"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9" t="s">
        <v>2111</v>
      </c>
      <c r="F15" s="54">
        <v>4</v>
      </c>
      <c r="G15" s="439" t="s">
        <v>2112</v>
      </c>
      <c r="H15" s="1059" t="s">
        <v>2113</v>
      </c>
      <c r="I15" s="1059"/>
      <c r="J15" s="1072"/>
      <c r="K15" s="54">
        <v>7</v>
      </c>
      <c r="L15" s="439" t="s">
        <v>2111</v>
      </c>
      <c r="M15" s="54">
        <v>3</v>
      </c>
      <c r="N15" s="439" t="s">
        <v>2112</v>
      </c>
      <c r="O15" s="439" t="s">
        <v>2114</v>
      </c>
      <c r="P15" s="104">
        <f>(K15*12+M15)-(D15*12+F15)+1</f>
        <v>12</v>
      </c>
      <c r="Q15" s="1059" t="s">
        <v>2115</v>
      </c>
      <c r="R15" s="1059"/>
      <c r="S15" s="105" t="s">
        <v>69</v>
      </c>
      <c r="U15" s="435"/>
      <c r="V15" s="1060">
        <f>IFERROR(VLOOKUP(Y5,【参考】数式用!$A$5:$AB$37,MATCH(V14,【参考】数式用!$B$4:$AB$4,0)+1,FALSE),"")</f>
        <v>4.0999999999999995E-2</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40" t="str">
        <f>IFERROR(IF(L9="ベア加算","✓",""),"")</f>
        <v>✓</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40"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40" t="str">
        <f>IFERROR(IF(B9="処遇加算Ⅲ","✓",""),"")</f>
        <v>✓</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40"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40"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40" t="str">
        <f>IFERROR(IF(B9="処遇加算Ⅲ","✓",""),"")</f>
        <v>✓</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40"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40"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40" t="str">
        <f>IFERROR(IF(AND(B9&lt;&gt;"",B9&lt;&gt;"処遇加算Ⅰ"),"✓",""),"")</f>
        <v>✓</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40"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40" t="str">
        <f>IFERROR(IF(G9="特定加算なし","✓",""),"")</f>
        <v>✓</v>
      </c>
      <c r="W37" s="1053" t="s">
        <v>15</v>
      </c>
      <c r="X37" s="1054"/>
      <c r="Y37" s="1054"/>
      <c r="Z37" s="1055"/>
      <c r="AA37" s="1022"/>
      <c r="AB37" s="1023"/>
      <c r="AC37" s="1048" t="s">
        <v>2176</v>
      </c>
      <c r="AD37" s="1049"/>
      <c r="AE37" s="1049"/>
      <c r="AF37" s="1049"/>
      <c r="AG37" s="1050">
        <v>0</v>
      </c>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福祉専門職員配置等加算を算定する。</v>
      </c>
      <c r="H40" s="1077"/>
      <c r="I40" s="1077"/>
      <c r="J40" s="1077"/>
      <c r="K40" s="1077"/>
      <c r="L40" s="1077"/>
      <c r="M40" s="1077"/>
      <c r="N40" s="1077"/>
      <c r="O40" s="1077"/>
      <c r="P40" s="1077"/>
      <c r="Q40" s="1077"/>
      <c r="R40" s="1077"/>
      <c r="S40" s="1077"/>
      <c r="T40" s="1078"/>
      <c r="U40" s="92"/>
      <c r="V40" s="440"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40" t="str">
        <f>IFERROR(IF(OR(G9="特定加算Ⅱ",G9="特定加算なし"),"✓",""),"")</f>
        <v>✓</v>
      </c>
      <c r="W41" s="1053" t="s">
        <v>15</v>
      </c>
      <c r="X41" s="1054"/>
      <c r="Y41" s="1054"/>
      <c r="Z41" s="1055"/>
      <c r="AA41" s="1022"/>
      <c r="AB41" s="1023"/>
      <c r="AC41" s="134" t="s">
        <v>83</v>
      </c>
      <c r="AD41" s="1160" t="s">
        <v>2283</v>
      </c>
      <c r="AE41" s="1161"/>
      <c r="AF41" s="1161"/>
      <c r="AG41" s="1161"/>
      <c r="AH41" s="1162"/>
      <c r="AI41" s="1022"/>
      <c r="AJ41" s="1023"/>
      <c r="AK41" s="134" t="s">
        <v>83</v>
      </c>
      <c r="AL41" s="1160" t="s">
        <v>2283</v>
      </c>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40"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40" t="str">
        <f>IFERROR(IF(G9="特定加算なし","✓",""),"")</f>
        <v>✓</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処遇加算Ⅰ</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ベア加算</v>
      </c>
      <c r="BB48" s="1040"/>
      <c r="BC48" s="1040"/>
      <c r="BD48" s="1040"/>
      <c r="BE48" s="1041" t="str">
        <f>AS48&amp;AW48&amp;BA48</f>
        <v>処遇加算Ⅰ特定加算なしベア加算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処遇加算Ⅰ</v>
      </c>
      <c r="H49" s="1164"/>
      <c r="I49" s="1164"/>
      <c r="J49" s="1164"/>
      <c r="K49" s="1189"/>
      <c r="L49" s="1194" t="str">
        <f>IFERROR(IF(G9="","",IF(AND(OR(AH61=1,AH61=2),AH62=1,AH63=1),"特定加算Ⅰ",IF(AND(OR(AH61=1,AH61=2),AH62=2,AH63=1),"特定加算Ⅱ",IF(OR(AH61=3,AH62=2,AH63=2),"特定加算なし","")))),"")</f>
        <v>特定加算なし</v>
      </c>
      <c r="M49" s="1195"/>
      <c r="N49" s="1195"/>
      <c r="O49" s="1195"/>
      <c r="P49" s="1196"/>
      <c r="Q49" s="1163" t="str">
        <f>IFERROR(IF(OR(L9="ベア加算",AND(L9="ベア加算なし",AH57=1)),"ベア加算",IF(AH57=2,"ベア加算なし","")),"")</f>
        <v>ベア加算</v>
      </c>
      <c r="R49" s="1164"/>
      <c r="S49" s="1164"/>
      <c r="T49" s="1164"/>
      <c r="U49" s="1165"/>
      <c r="V49" s="1166" t="s">
        <v>10</v>
      </c>
      <c r="W49" s="1167"/>
      <c r="X49" s="1167"/>
      <c r="Y49" s="1167"/>
      <c r="Z49" s="1167"/>
      <c r="AA49" s="1047"/>
      <c r="AB49" s="1047"/>
      <c r="AC49" s="1173" t="str">
        <f>IFERROR(VLOOKUP(BE48,【参考】数式用2!E6:F23,2,FALSE),"")</f>
        <v>新加算Ⅲ</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f>IFERROR(VLOOKUP(Y5,【参考】数式用!$A$5:$J$37,MATCH(G49,【参考】数式用!$B$4:$J$4,0)+1,0),"")</f>
        <v>4.3999999999999997E-2</v>
      </c>
      <c r="H50" s="1177"/>
      <c r="I50" s="1177"/>
      <c r="J50" s="1177"/>
      <c r="K50" s="1178"/>
      <c r="L50" s="1179">
        <f>IFERROR(VLOOKUP(Y5,【参考】数式用!$A$5:$J$37,MATCH(L49,【参考】数式用!$B$4:$J$4,0)+1,0),"")</f>
        <v>0</v>
      </c>
      <c r="M50" s="1180"/>
      <c r="N50" s="1180"/>
      <c r="O50" s="1180"/>
      <c r="P50" s="1181"/>
      <c r="Q50" s="1182">
        <f>IFERROR(VLOOKUP(Y5,【参考】数式用!$A$5:$J$37,MATCH(Q49,【参考】数式用!$B$4:$J$4,0)+1,0),"")</f>
        <v>1.0999999999999999E-2</v>
      </c>
      <c r="R50" s="1177"/>
      <c r="S50" s="1177"/>
      <c r="T50" s="1177"/>
      <c r="U50" s="1183"/>
      <c r="V50" s="1145">
        <f>SUM(G50,L50,Q50)</f>
        <v>5.4999999999999993E-2</v>
      </c>
      <c r="W50" s="1146"/>
      <c r="X50" s="1146"/>
      <c r="Y50" s="1146"/>
      <c r="Z50" s="1146"/>
      <c r="AA50" s="1047"/>
      <c r="AB50" s="1047"/>
      <c r="AC50" s="1184">
        <f>IFERROR(VLOOKUP(Y5,【参考】数式用!$A$5:$AB$37,MATCH(AC49,【参考】数式用!$B$4:$AB$4,0)+1,FALSE),"")</f>
        <v>6.699999999999999E-2</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7" t="s">
        <v>2054</v>
      </c>
      <c r="BW50" s="1198"/>
      <c r="BX50" s="1198"/>
      <c r="BY50" s="1198"/>
      <c r="BZ50" s="1198"/>
      <c r="CA50" s="1199"/>
      <c r="CD50" s="142"/>
    </row>
    <row r="51" spans="2:86" ht="17.25" customHeight="1">
      <c r="B51" s="1170" t="s">
        <v>2121</v>
      </c>
      <c r="C51" s="1171"/>
      <c r="D51" s="1171"/>
      <c r="E51" s="1171"/>
      <c r="F51" s="1172"/>
      <c r="G51" s="1092">
        <f>IFERROR(ROUNDDOWN(ROUND(AM5*G50,0),0)*H53,"")</f>
        <v>268400</v>
      </c>
      <c r="H51" s="1092"/>
      <c r="I51" s="1092"/>
      <c r="J51" s="1092"/>
      <c r="K51" s="55" t="s">
        <v>2117</v>
      </c>
      <c r="L51" s="1089">
        <f>IFERROR(ROUNDDOWN(ROUND(AM5*L50,0),0)*H53,"")</f>
        <v>0</v>
      </c>
      <c r="M51" s="1090"/>
      <c r="N51" s="1090"/>
      <c r="O51" s="1090"/>
      <c r="P51" s="55" t="s">
        <v>2117</v>
      </c>
      <c r="Q51" s="1091">
        <f>IFERROR(ROUNDDOWN(ROUND(AM5*Q50,0),0)*H53,"")</f>
        <v>67100</v>
      </c>
      <c r="R51" s="1092"/>
      <c r="S51" s="1092"/>
      <c r="T51" s="1092"/>
      <c r="U51" s="56" t="s">
        <v>2117</v>
      </c>
      <c r="V51" s="1192">
        <f>IFERROR(SUM(G51,L51,Q51),"")</f>
        <v>335500</v>
      </c>
      <c r="W51" s="1193"/>
      <c r="X51" s="1193"/>
      <c r="Y51" s="1193"/>
      <c r="Z51" s="57" t="s">
        <v>2117</v>
      </c>
      <c r="AB51" s="58"/>
      <c r="AC51" s="1091">
        <f>IFERROR(ROUNDDOWN(ROUND(AM5*AC50,0),0)*AD53,"")</f>
        <v>2043500</v>
      </c>
      <c r="AD51" s="1092"/>
      <c r="AE51" s="1092"/>
      <c r="AF51" s="1092"/>
      <c r="AG51" s="1092"/>
      <c r="AH51" s="56" t="s">
        <v>2117</v>
      </c>
      <c r="AS51" s="1042">
        <f>IFERROR(ROUNDDOWN(ROUND(AM5*(G50-B10),0),0)*H53,"")</f>
        <v>158600</v>
      </c>
      <c r="AT51" s="1042"/>
      <c r="AU51" s="1042"/>
      <c r="AV51" s="1042"/>
      <c r="AW51" s="1042">
        <f>IFERROR(ROUNDDOWN(ROUND(AM5*(L50-G10),0),0)*H53,"")</f>
        <v>0</v>
      </c>
      <c r="AX51" s="1042"/>
      <c r="AY51" s="1042"/>
      <c r="AZ51" s="1042"/>
      <c r="BA51" s="1042">
        <f>IFERROR(ROUNDDOWN(ROUND(AM5*(Q50-L10),0),0)*H53,"")</f>
        <v>0</v>
      </c>
      <c r="BB51" s="1042"/>
      <c r="BC51" s="1042"/>
      <c r="BD51" s="1042"/>
      <c r="BE51" s="1042">
        <f>IFERROR(ROUNDDOWN(ROUND(AM5*(AC50-Q10),0),0)*AD53,"")</f>
        <v>1159000</v>
      </c>
      <c r="BF51" s="1042"/>
      <c r="BG51" s="1042"/>
      <c r="BH51" s="1042"/>
      <c r="BI51" s="1042">
        <f>SUM(AS51:BH51)</f>
        <v>1317600</v>
      </c>
      <c r="BJ51" s="1042"/>
      <c r="BK51" s="1042"/>
      <c r="BL51" s="1042"/>
      <c r="BM51" s="141"/>
      <c r="BN51" s="1042">
        <f>IFERROR(ROUNDDOWN(ROUNDDOWN(ROUND(AM5*(VLOOKUP(Y5,【参考】数式用!$A$5:$AB$37,14,FALSE)),0),0)*AD53*0.5,0),"")</f>
        <v>838750</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(134,200円/月)</v>
      </c>
      <c r="H52" s="1088"/>
      <c r="I52" s="1088"/>
      <c r="J52" s="1088"/>
      <c r="K52" s="1088"/>
      <c r="L52" s="1190" t="str">
        <f>IFERROR("("&amp;TEXT(L51/H53,"#,##0円")&amp;"/月)","")</f>
        <v>(0円/月)</v>
      </c>
      <c r="M52" s="1191"/>
      <c r="N52" s="1191"/>
      <c r="O52" s="1191"/>
      <c r="P52" s="1087"/>
      <c r="Q52" s="1088" t="str">
        <f>IFERROR("("&amp;TEXT(Q51/H53,"#,##0円")&amp;"/月)","")</f>
        <v>(33,550円/月)</v>
      </c>
      <c r="R52" s="1088"/>
      <c r="S52" s="1088"/>
      <c r="T52" s="1088"/>
      <c r="U52" s="1088"/>
      <c r="V52" s="1088" t="str">
        <f>IFERROR("("&amp;TEXT(V51/H53,"#,##0円")&amp;"/月)","")</f>
        <v>(167,750円/月)</v>
      </c>
      <c r="W52" s="1088"/>
      <c r="X52" s="1088"/>
      <c r="Y52" s="1088"/>
      <c r="Z52" s="1088"/>
      <c r="AB52" s="58"/>
      <c r="AC52" s="1190" t="str">
        <f>IFERROR("("&amp;TEXT(AC51/AD53,"#,##0円")&amp;"/月)","")</f>
        <v>(204,350円/月)</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436">
        <f>IF(AND(B9&lt;&gt;"処遇加算なし",F15=4),IF(V21="✓",1,IF(V22="✓",2,"")),"")</f>
        <v>1</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436">
        <f>IF(AND(B9&lt;&gt;"処遇加算なし",F15=4),IF(V24="✓",1,IF(V25="✓",2,IF(V26="✓",3,""))),"")</f>
        <v>2</v>
      </c>
      <c r="AA58" s="145"/>
      <c r="AB58" s="149"/>
      <c r="AC58" s="1046" t="s">
        <v>2378</v>
      </c>
      <c r="AD58" s="1046"/>
      <c r="AE58" s="1046"/>
      <c r="AF58" s="1046"/>
      <c r="AG58" s="1046"/>
      <c r="AH58" s="425">
        <f>IF(AND(F15&lt;&gt;4,F15&lt;&gt;5),0,IF(AU8="○",1,3))</f>
        <v>1</v>
      </c>
      <c r="AI58" s="153"/>
      <c r="AJ58" s="149"/>
      <c r="AK58" s="1046" t="s">
        <v>2378</v>
      </c>
      <c r="AL58" s="1046"/>
      <c r="AM58" s="1046"/>
      <c r="AN58" s="1046"/>
      <c r="AO58" s="1046"/>
      <c r="AP58" s="425">
        <f>IF(AU8="○",1,3)</f>
        <v>1</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436">
        <f>IF(AND(B9&lt;&gt;"処遇加算なし",F15=4),IF(V28="✓",1,IF(V29="✓",2,IF(V30="✓",3,""))),"")</f>
        <v>2</v>
      </c>
      <c r="AA59" s="145"/>
      <c r="AB59" s="149"/>
      <c r="AC59" s="1046" t="s">
        <v>2379</v>
      </c>
      <c r="AD59" s="1046"/>
      <c r="AE59" s="1046"/>
      <c r="AF59" s="1046"/>
      <c r="AG59" s="1046"/>
      <c r="AH59" s="425">
        <f>IF(AND(F15&lt;&gt;4,F15&lt;&gt;5),0,IF(AV8="○",1,3))</f>
        <v>1</v>
      </c>
      <c r="AI59" s="153"/>
      <c r="AJ59" s="149"/>
      <c r="AK59" s="1046" t="s">
        <v>2379</v>
      </c>
      <c r="AL59" s="1046"/>
      <c r="AM59" s="1046"/>
      <c r="AN59" s="1046"/>
      <c r="AO59" s="1046"/>
      <c r="AP59" s="425">
        <f>IF(AV8="○",1,3)</f>
        <v>1</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436">
        <f>IF(AND(B9&lt;&gt;"処遇加算なし",F15=4),IF(V32="✓",1,IF(V33="✓",2,"")),"")</f>
        <v>2</v>
      </c>
      <c r="AA60" s="145"/>
      <c r="AB60" s="149"/>
      <c r="AC60" s="1046" t="s">
        <v>2380</v>
      </c>
      <c r="AD60" s="1046"/>
      <c r="AE60" s="1046"/>
      <c r="AF60" s="1046"/>
      <c r="AG60" s="1046"/>
      <c r="AH60" s="425">
        <f>IF(AND(F15&lt;&gt;4,F15&lt;&gt;5),0,IF(AW8="○",1,3))</f>
        <v>1</v>
      </c>
      <c r="AI60" s="153"/>
      <c r="AJ60" s="149"/>
      <c r="AK60" s="1046" t="s">
        <v>2380</v>
      </c>
      <c r="AL60" s="1046"/>
      <c r="AM60" s="1046"/>
      <c r="AN60" s="1046"/>
      <c r="AO60" s="1046"/>
      <c r="AP60" s="425">
        <f>IF(AW8="○",1,3)</f>
        <v>1</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436">
        <f>IF(AND(B9&lt;&gt;"処遇加算なし",F15=4),IF(V36="✓",1,IF(V37="✓",2,"")),"")</f>
        <v>2</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436">
        <f>IF(AND(B9&lt;&gt;"処遇加算なし",F15=4),IF(V40="✓",1,IF(V41="✓",2,"")),"")</f>
        <v>2</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436">
        <f>IF(AND(B9&lt;&gt;"処遇加算なし",F15=4),IF(V44="✓",1,IF(V45="✓",2,"")),"")</f>
        <v>2</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F576" sheet="1" formatCells="0" formatColumns="0" formatRows="0" selectLockedCells="1" selectUnlockedCells="1"/>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CJ73"/>
  <sheetViews>
    <sheetView showGridLines="0" view="pageBreakPreview" zoomScaleNormal="53" zoomScaleSheetLayoutView="100" workbookViewId="0">
      <selection activeCell="AE5" sqref="AE5:AH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2326</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東京都</v>
      </c>
      <c r="AJ1" s="1204"/>
      <c r="AK1" s="1204"/>
      <c r="AL1" s="1204"/>
      <c r="AM1" s="1204"/>
      <c r="AN1" s="1204"/>
      <c r="AO1" s="1204"/>
      <c r="AP1" s="1204"/>
      <c r="AS1" s="1034" t="str">
        <f>B9&amp;G9&amp;L9</f>
        <v>処遇加算Ⅲ特定加算なしベア加算なし</v>
      </c>
      <c r="AT1" s="1035"/>
      <c r="AU1" s="1035"/>
      <c r="AV1" s="1035"/>
      <c r="AW1" s="1035"/>
      <c r="AX1" s="1035"/>
      <c r="AY1" s="1035"/>
      <c r="AZ1" s="1035"/>
      <c r="BA1" s="1035"/>
      <c r="BB1" s="1035"/>
      <c r="BC1" s="1035"/>
      <c r="BD1" s="1035"/>
      <c r="BE1" s="1036"/>
      <c r="BF1" s="1033" t="str">
        <f>IFERROR(VLOOKUP(Y5,【参考】数式用!$AH$2:$AI$34,2,FALSE),"")</f>
        <v>就労継続支援Ａ型</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1"/>
      <c r="AR2" s="431"/>
      <c r="CE2" s="992" t="s">
        <v>2193</v>
      </c>
      <c r="CF2" s="992"/>
      <c r="CG2" s="992"/>
      <c r="CH2" s="992"/>
      <c r="CI2" s="1208">
        <f>IF(AI1&lt;&gt;"",1,"")</f>
        <v>1</v>
      </c>
      <c r="CJ2" s="1209"/>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0" t="str">
        <f>IF(AND(L9="ベア加算",Q49="ベア加算"),1,"")</f>
        <v/>
      </c>
      <c r="CJ3" s="1211"/>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3">
        <v>1334567892</v>
      </c>
      <c r="C5" s="1103"/>
      <c r="D5" s="1103"/>
      <c r="E5" s="1103"/>
      <c r="F5" s="1103"/>
      <c r="G5" s="1104" t="s">
        <v>2355</v>
      </c>
      <c r="H5" s="1104"/>
      <c r="I5" s="1104"/>
      <c r="J5" s="1105" t="s">
        <v>4</v>
      </c>
      <c r="K5" s="1105"/>
      <c r="L5" s="1105"/>
      <c r="M5" s="1106" t="s">
        <v>1182</v>
      </c>
      <c r="N5" s="1106"/>
      <c r="O5" s="1106"/>
      <c r="P5" s="1009" t="s">
        <v>2356</v>
      </c>
      <c r="Q5" s="1010"/>
      <c r="R5" s="1010"/>
      <c r="S5" s="1010"/>
      <c r="T5" s="1010"/>
      <c r="U5" s="1010"/>
      <c r="V5" s="1010"/>
      <c r="W5" s="1010"/>
      <c r="X5" s="1011"/>
      <c r="Y5" s="1086" t="s">
        <v>2257</v>
      </c>
      <c r="Z5" s="1086"/>
      <c r="AA5" s="1086"/>
      <c r="AB5" s="1086"/>
      <c r="AC5" s="1086"/>
      <c r="AD5" s="1086"/>
      <c r="AE5" s="997">
        <v>4250000</v>
      </c>
      <c r="AF5" s="998"/>
      <c r="AG5" s="998"/>
      <c r="AH5" s="999"/>
      <c r="AI5" s="997">
        <v>800000</v>
      </c>
      <c r="AJ5" s="998"/>
      <c r="AK5" s="998"/>
      <c r="AL5" s="999"/>
      <c r="AM5" s="1000">
        <f>AE5-AI5</f>
        <v>3450000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2188</v>
      </c>
      <c r="CF7" s="1212"/>
      <c r="CG7" s="1212"/>
      <c r="CH7" s="1212"/>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新加算Ⅳ</v>
      </c>
      <c r="W8" s="1004"/>
      <c r="X8" s="1004"/>
      <c r="Y8" s="1004"/>
      <c r="Z8" s="1005"/>
      <c r="AA8" s="993"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2188</v>
      </c>
      <c r="CF8" s="1212"/>
      <c r="CG8" s="1212"/>
      <c r="CH8" s="1212"/>
      <c r="CI8" s="990" t="str">
        <f>IF(AND(AP62=1,AL41=""),1,"")</f>
        <v/>
      </c>
      <c r="CJ8" s="991"/>
    </row>
    <row r="9" spans="1:88" ht="26.25" customHeight="1">
      <c r="B9" s="1124" t="s">
        <v>232</v>
      </c>
      <c r="C9" s="1125"/>
      <c r="D9" s="1125"/>
      <c r="E9" s="1125"/>
      <c r="F9" s="1126"/>
      <c r="G9" s="1127" t="s">
        <v>11</v>
      </c>
      <c r="H9" s="1128"/>
      <c r="I9" s="1128"/>
      <c r="J9" s="1128"/>
      <c r="K9" s="1129"/>
      <c r="L9" s="1130" t="s">
        <v>9</v>
      </c>
      <c r="M9" s="1131"/>
      <c r="N9" s="1131"/>
      <c r="O9" s="1131"/>
      <c r="P9" s="1132"/>
      <c r="Q9" s="1107" t="s">
        <v>2052</v>
      </c>
      <c r="R9" s="1108"/>
      <c r="S9" s="1108"/>
      <c r="T9" s="1022"/>
      <c r="U9" s="1023"/>
      <c r="V9" s="1006">
        <f>IFERROR(VLOOKUP(Y5,【参考】数式用!$A$5:$AB$37,MATCH(V8,【参考】数式用!$B$4:$AB$4,0)+1,FALSE),"")</f>
        <v>6.3E-2</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2188</v>
      </c>
      <c r="CF9" s="992"/>
      <c r="CG9" s="992"/>
      <c r="CH9" s="992"/>
      <c r="CI9" s="990" t="str">
        <f>IF(OR(AH62=1,AP62=1),1,"")</f>
        <v/>
      </c>
      <c r="CJ9" s="991"/>
    </row>
    <row r="10" spans="1:88" ht="11.25" customHeight="1">
      <c r="B10" s="1133">
        <f>IFERROR(VLOOKUP(Y5,【参考】数式用!$A$5:$J$37,MATCH(B9,【参考】数式用!$B$4:$J$4,0)+1,0),"")</f>
        <v>2.3E-2</v>
      </c>
      <c r="C10" s="1134"/>
      <c r="D10" s="1134"/>
      <c r="E10" s="1134"/>
      <c r="F10" s="1135"/>
      <c r="G10" s="1133">
        <f>IFERROR(VLOOKUP(Y5,【参考】数式用!$A$5:$J$37,MATCH(G9,【参考】数式用!$B$4:$J$4,0)+1,0),"")</f>
        <v>0</v>
      </c>
      <c r="H10" s="1134"/>
      <c r="I10" s="1134"/>
      <c r="J10" s="1134"/>
      <c r="K10" s="1135"/>
      <c r="L10" s="1139">
        <f>IFERROR(VLOOKUP(Y5,【参考】数式用!$A$5:$J$37,MATCH(L9,【参考】数式用!$B$4:$J$4,0)+1,0),"")</f>
        <v>0</v>
      </c>
      <c r="M10" s="1140"/>
      <c r="N10" s="1140"/>
      <c r="O10" s="1140"/>
      <c r="P10" s="1141"/>
      <c r="Q10" s="1145">
        <f>SUM(B10,G10,L10)</f>
        <v>2.3E-2</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新加算Ⅴ(11)</v>
      </c>
      <c r="W11" s="1075"/>
      <c r="X11" s="1075"/>
      <c r="Y11" s="1075"/>
      <c r="Z11" s="1075"/>
      <c r="AA11" s="99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0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2"/>
      <c r="D12" s="1102"/>
      <c r="E12" s="1102"/>
      <c r="F12" s="1102"/>
      <c r="G12" s="1102"/>
      <c r="H12" s="1102"/>
      <c r="I12" s="1102"/>
      <c r="J12" s="1102"/>
      <c r="K12" s="1102"/>
      <c r="L12" s="1102"/>
      <c r="M12" s="1102"/>
      <c r="N12" s="1102"/>
      <c r="O12" s="1102"/>
      <c r="P12" s="1102"/>
      <c r="Q12" s="1102"/>
      <c r="R12" s="1102"/>
      <c r="S12" s="1102"/>
      <c r="T12" s="1047"/>
      <c r="U12" s="1023"/>
      <c r="V12" s="1213">
        <f>IFERROR(VLOOKUP(Y5,【参考】数式用!$A$5:$AB$37,MATCH(V11,【参考】数式用!$B$4:$AB$4,0)+1,FALSE),"")</f>
        <v>0.05</v>
      </c>
      <c r="W12" s="1213"/>
      <c r="X12" s="1213"/>
      <c r="Y12" s="1213"/>
      <c r="Z12" s="1213"/>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7"/>
      <c r="V14" s="1075" t="str">
        <f>IFERROR(IF(VLOOKUP(AS1,【参考】数式用2!E6:L23,7,FALSE)="","",VLOOKUP(AS1,【参考】数式用2!E6:L23,7,FALSE)),"")</f>
        <v>新加算Ⅴ(14)</v>
      </c>
      <c r="W14" s="1075"/>
      <c r="X14" s="1075"/>
      <c r="Y14" s="1075"/>
      <c r="Z14" s="1075"/>
      <c r="AA14" s="102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0" t="s">
        <v>2111</v>
      </c>
      <c r="F15" s="54">
        <v>4</v>
      </c>
      <c r="G15" s="430" t="s">
        <v>2112</v>
      </c>
      <c r="H15" s="1059" t="s">
        <v>2113</v>
      </c>
      <c r="I15" s="1059"/>
      <c r="J15" s="1072"/>
      <c r="K15" s="54">
        <v>7</v>
      </c>
      <c r="L15" s="430" t="s">
        <v>2111</v>
      </c>
      <c r="M15" s="54">
        <v>3</v>
      </c>
      <c r="N15" s="430" t="s">
        <v>2112</v>
      </c>
      <c r="O15" s="430" t="s">
        <v>2114</v>
      </c>
      <c r="P15" s="104">
        <f>(K15*12+M15)-(D15*12+F15)+1</f>
        <v>12</v>
      </c>
      <c r="Q15" s="1059" t="s">
        <v>2115</v>
      </c>
      <c r="R15" s="1059"/>
      <c r="S15" s="105" t="s">
        <v>69</v>
      </c>
      <c r="U15" s="427"/>
      <c r="V15" s="1060">
        <f>IFERROR(VLOOKUP(Y5,【参考】数式用!$A$5:$AB$37,MATCH(V14,【参考】数式用!$B$4:$AB$4,0)+1,FALSE),"")</f>
        <v>3.2000000000000001E-2</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2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29"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29" t="str">
        <f>IFERROR(IF(B9="処遇加算Ⅲ","✓",""),"")</f>
        <v>✓</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29"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29"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29" t="str">
        <f>IFERROR(IF(B9="処遇加算Ⅲ","✓",""),"")</f>
        <v>✓</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29"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29"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9" t="str">
        <f>IFERROR(IF(AND(B9&lt;&gt;"",B9&lt;&gt;"処遇加算Ⅰ"),"✓",""),"")</f>
        <v>✓</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29"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9" t="str">
        <f>IFERROR(IF(G9="特定加算なし","✓",""),"")</f>
        <v>✓</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福祉専門職員配置等加算を算定する。</v>
      </c>
      <c r="H40" s="1077"/>
      <c r="I40" s="1077"/>
      <c r="J40" s="1077"/>
      <c r="K40" s="1077"/>
      <c r="L40" s="1077"/>
      <c r="M40" s="1077"/>
      <c r="N40" s="1077"/>
      <c r="O40" s="1077"/>
      <c r="P40" s="1077"/>
      <c r="Q40" s="1077"/>
      <c r="R40" s="1077"/>
      <c r="S40" s="1077"/>
      <c r="T40" s="1078"/>
      <c r="U40" s="92"/>
      <c r="V40" s="429"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9" t="str">
        <f>IFERROR(IF(OR(G9="特定加算Ⅱ",G9="特定加算なし"),"✓",""),"")</f>
        <v>✓</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29"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9" t="str">
        <f>IFERROR(IF(G9="特定加算なし","✓",""),"")</f>
        <v>✓</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処遇加算Ⅱ</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ベア加算</v>
      </c>
      <c r="BB48" s="1040"/>
      <c r="BC48" s="1040"/>
      <c r="BD48" s="1040"/>
      <c r="BE48" s="1041" t="str">
        <f>AS48&amp;AW48&amp;BA48</f>
        <v>処遇加算Ⅱ特定加算なしベア加算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処遇加算Ⅱ</v>
      </c>
      <c r="H49" s="1164"/>
      <c r="I49" s="1164"/>
      <c r="J49" s="1164"/>
      <c r="K49" s="1189"/>
      <c r="L49" s="1194" t="str">
        <f>IFERROR(IF(G9="","",IF(AND(OR(AH61=1,AH61=2),AH62=1,AH63=1),"特定加算Ⅰ",IF(AND(OR(AH61=1,AH61=2),AH62=2,AH63=1),"特定加算Ⅱ",IF(OR(AH61=3,AH62=2,AH63=2),"特定加算なし","")))),"")</f>
        <v>特定加算なし</v>
      </c>
      <c r="M49" s="1195"/>
      <c r="N49" s="1195"/>
      <c r="O49" s="1195"/>
      <c r="P49" s="1196"/>
      <c r="Q49" s="1163" t="str">
        <f>IFERROR(IF(OR(L9="ベア加算",AND(L9="ベア加算なし",AH57=1)),"ベア加算",IF(AH57=2,"ベア加算なし","")),"")</f>
        <v>ベア加算</v>
      </c>
      <c r="R49" s="1164"/>
      <c r="S49" s="1164"/>
      <c r="T49" s="1164"/>
      <c r="U49" s="1165"/>
      <c r="V49" s="1166" t="s">
        <v>10</v>
      </c>
      <c r="W49" s="1167"/>
      <c r="X49" s="1167"/>
      <c r="Y49" s="1167"/>
      <c r="Z49" s="1167"/>
      <c r="AA49" s="1047"/>
      <c r="AB49" s="1047"/>
      <c r="AC49" s="1173" t="str">
        <f>IFERROR(VLOOKUP(BE48,【参考】数式用2!E6:F23,2,FALSE),"")</f>
        <v>新加算Ⅳ</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f>IFERROR(VLOOKUP(Y5,【参考】数式用!$A$5:$J$37,MATCH(G49,【参考】数式用!$B$4:$J$4,0)+1,0),"")</f>
        <v>4.1000000000000002E-2</v>
      </c>
      <c r="H50" s="1177"/>
      <c r="I50" s="1177"/>
      <c r="J50" s="1177"/>
      <c r="K50" s="1178"/>
      <c r="L50" s="1179">
        <f>IFERROR(VLOOKUP(Y5,【参考】数式用!$A$5:$J$37,MATCH(L49,【参考】数式用!$B$4:$J$4,0)+1,0),"")</f>
        <v>0</v>
      </c>
      <c r="M50" s="1180"/>
      <c r="N50" s="1180"/>
      <c r="O50" s="1180"/>
      <c r="P50" s="1181"/>
      <c r="Q50" s="1182">
        <f>IFERROR(VLOOKUP(Y5,【参考】数式用!$A$5:$J$37,MATCH(Q49,【参考】数式用!$B$4:$J$4,0)+1,0),"")</f>
        <v>1.2999999999999999E-2</v>
      </c>
      <c r="R50" s="1177"/>
      <c r="S50" s="1177"/>
      <c r="T50" s="1177"/>
      <c r="U50" s="1183"/>
      <c r="V50" s="1145">
        <f>SUM(G50,L50,Q50)</f>
        <v>5.3999999999999999E-2</v>
      </c>
      <c r="W50" s="1146"/>
      <c r="X50" s="1146"/>
      <c r="Y50" s="1146"/>
      <c r="Z50" s="1146"/>
      <c r="AA50" s="1047"/>
      <c r="AB50" s="1047"/>
      <c r="AC50" s="1184">
        <f>IFERROR(VLOOKUP(Y5,【参考】数式用!$A$5:$AB$37,MATCH(AC49,【参考】数式用!$B$4:$AB$4,0)+1,FALSE),"")</f>
        <v>6.3E-2</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7" t="s">
        <v>2054</v>
      </c>
      <c r="BW50" s="1198"/>
      <c r="BX50" s="1198"/>
      <c r="BY50" s="1198"/>
      <c r="BZ50" s="1198"/>
      <c r="CA50" s="1199"/>
      <c r="CD50" s="142"/>
    </row>
    <row r="51" spans="2:86" ht="17.25" customHeight="1">
      <c r="B51" s="1170" t="s">
        <v>2121</v>
      </c>
      <c r="C51" s="1171"/>
      <c r="D51" s="1171"/>
      <c r="E51" s="1171"/>
      <c r="F51" s="1172"/>
      <c r="G51" s="1092">
        <f>IFERROR(ROUNDDOWN(ROUND(AM5*G50,0),0)*H53,"")</f>
        <v>282900</v>
      </c>
      <c r="H51" s="1092"/>
      <c r="I51" s="1092"/>
      <c r="J51" s="1092"/>
      <c r="K51" s="55" t="s">
        <v>2117</v>
      </c>
      <c r="L51" s="1089">
        <f>IFERROR(ROUNDDOWN(ROUND(AM5*L50,0),0)*H53,"")</f>
        <v>0</v>
      </c>
      <c r="M51" s="1090"/>
      <c r="N51" s="1090"/>
      <c r="O51" s="1090"/>
      <c r="P51" s="55" t="s">
        <v>2117</v>
      </c>
      <c r="Q51" s="1091">
        <f>IFERROR(ROUNDDOWN(ROUND(AM5*Q50,0),0)*H53,"")</f>
        <v>89700</v>
      </c>
      <c r="R51" s="1092"/>
      <c r="S51" s="1092"/>
      <c r="T51" s="1092"/>
      <c r="U51" s="56" t="s">
        <v>2117</v>
      </c>
      <c r="V51" s="1192">
        <f>IFERROR(SUM(G51,L51,Q51),"")</f>
        <v>372600</v>
      </c>
      <c r="W51" s="1193"/>
      <c r="X51" s="1193"/>
      <c r="Y51" s="1193"/>
      <c r="Z51" s="57" t="s">
        <v>2117</v>
      </c>
      <c r="AB51" s="58"/>
      <c r="AC51" s="1091">
        <f>IFERROR(ROUNDDOWN(ROUND(AM5*AC50,0),0)*AD53,"")</f>
        <v>2173500</v>
      </c>
      <c r="AD51" s="1092"/>
      <c r="AE51" s="1092"/>
      <c r="AF51" s="1092"/>
      <c r="AG51" s="1092"/>
      <c r="AH51" s="56" t="s">
        <v>2117</v>
      </c>
      <c r="AS51" s="1042">
        <f>IFERROR(ROUNDDOWN(ROUND(AM5*(G50-B10),0),0)*H53,"")</f>
        <v>124200</v>
      </c>
      <c r="AT51" s="1042"/>
      <c r="AU51" s="1042"/>
      <c r="AV51" s="1042"/>
      <c r="AW51" s="1042">
        <f>IFERROR(ROUNDDOWN(ROUND(AM5*(L50-G10),0),0)*H53,"")</f>
        <v>0</v>
      </c>
      <c r="AX51" s="1042"/>
      <c r="AY51" s="1042"/>
      <c r="AZ51" s="1042"/>
      <c r="BA51" s="1042">
        <f>IFERROR(ROUNDDOWN(ROUND(AM5*(Q50-L10),0),0)*H53,"")</f>
        <v>89700</v>
      </c>
      <c r="BB51" s="1042"/>
      <c r="BC51" s="1042"/>
      <c r="BD51" s="1042"/>
      <c r="BE51" s="1042">
        <f>IFERROR(ROUNDDOWN(ROUND(AM5*(AC50-Q10),0),0)*AD53,"")</f>
        <v>1380000</v>
      </c>
      <c r="BF51" s="1042"/>
      <c r="BG51" s="1042"/>
      <c r="BH51" s="1042"/>
      <c r="BI51" s="1042">
        <f>SUM(AS51:BH51)</f>
        <v>1593900</v>
      </c>
      <c r="BJ51" s="1042"/>
      <c r="BK51" s="1042"/>
      <c r="BL51" s="1042"/>
      <c r="BM51" s="141"/>
      <c r="BN51" s="1042">
        <f>IFERROR(ROUNDDOWN(ROUNDDOWN(ROUND(AM5*(VLOOKUP(Y5,【参考】数式用!$A$5:$AB$37,14,FALSE)),0),0)*AD53*0.5,0),"")</f>
        <v>1086750</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(141,450円/月)</v>
      </c>
      <c r="H52" s="1088"/>
      <c r="I52" s="1088"/>
      <c r="J52" s="1088"/>
      <c r="K52" s="1088"/>
      <c r="L52" s="1190" t="str">
        <f>IFERROR("("&amp;TEXT(L51/H53,"#,##0円")&amp;"/月)","")</f>
        <v>(0円/月)</v>
      </c>
      <c r="M52" s="1191"/>
      <c r="N52" s="1191"/>
      <c r="O52" s="1191"/>
      <c r="P52" s="1087"/>
      <c r="Q52" s="1088" t="str">
        <f>IFERROR("("&amp;TEXT(Q51/H53,"#,##0円")&amp;"/月)","")</f>
        <v>(44,850円/月)</v>
      </c>
      <c r="R52" s="1088"/>
      <c r="S52" s="1088"/>
      <c r="T52" s="1088"/>
      <c r="U52" s="1088"/>
      <c r="V52" s="1088" t="str">
        <f>IFERROR("("&amp;TEXT(V51/H53,"#,##0円")&amp;"/月)","")</f>
        <v>(186,300円/月)</v>
      </c>
      <c r="W52" s="1088"/>
      <c r="X52" s="1088"/>
      <c r="Y52" s="1088"/>
      <c r="Z52" s="1088"/>
      <c r="AB52" s="58"/>
      <c r="AC52" s="1190" t="str">
        <f>IFERROR("("&amp;TEXT(AC51/AD53,"#,##0円")&amp;"/月)","")</f>
        <v>(217,350円/月)</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426">
        <f>IF(AND(B9&lt;&gt;"処遇加算なし",F15=4),IF(V21="✓",1,IF(V22="✓",2,"")),"")</f>
        <v>2</v>
      </c>
      <c r="AA57" s="145"/>
      <c r="AB57" s="149"/>
      <c r="AC57" s="1038" t="s">
        <v>2377</v>
      </c>
      <c r="AD57" s="1038"/>
      <c r="AE57" s="1038"/>
      <c r="AF57" s="1038"/>
      <c r="AG57" s="1038"/>
      <c r="AH57" s="425">
        <f>IF(AND(F15&lt;&gt;4,F15&lt;&gt;5),0,IF(AT8="○",1,0))</f>
        <v>1</v>
      </c>
      <c r="AI57" s="153"/>
      <c r="AJ57" s="149"/>
      <c r="AK57" s="1038" t="s">
        <v>2377</v>
      </c>
      <c r="AL57" s="1038"/>
      <c r="AM57" s="1038"/>
      <c r="AN57" s="1038"/>
      <c r="AO57" s="1038"/>
      <c r="AP57" s="425">
        <f>IF(AT8="○",1,0)</f>
        <v>1</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426">
        <f>IF(AND(B9&lt;&gt;"処遇加算なし",F15=4),IF(V24="✓",1,IF(V25="✓",2,IF(V26="✓",3,""))),"")</f>
        <v>2</v>
      </c>
      <c r="AA58" s="145"/>
      <c r="AB58" s="149"/>
      <c r="AC58" s="1046" t="s">
        <v>2378</v>
      </c>
      <c r="AD58" s="1046"/>
      <c r="AE58" s="1046"/>
      <c r="AF58" s="1046"/>
      <c r="AG58" s="1046"/>
      <c r="AH58" s="425">
        <f>IF(AND(F15&lt;&gt;4,F15&lt;&gt;5),0,IF(AU8="○",1,3))</f>
        <v>1</v>
      </c>
      <c r="AI58" s="153"/>
      <c r="AJ58" s="149"/>
      <c r="AK58" s="1046" t="s">
        <v>2378</v>
      </c>
      <c r="AL58" s="1046"/>
      <c r="AM58" s="1046"/>
      <c r="AN58" s="1046"/>
      <c r="AO58" s="1046"/>
      <c r="AP58" s="425">
        <f>IF(AU8="○",1,3)</f>
        <v>1</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426">
        <f>IF(AND(B9&lt;&gt;"処遇加算なし",F15=4),IF(V28="✓",1,IF(V29="✓",2,IF(V30="✓",3,""))),"")</f>
        <v>2</v>
      </c>
      <c r="AA59" s="145"/>
      <c r="AB59" s="149"/>
      <c r="AC59" s="1046" t="s">
        <v>2379</v>
      </c>
      <c r="AD59" s="1046"/>
      <c r="AE59" s="1046"/>
      <c r="AF59" s="1046"/>
      <c r="AG59" s="1046"/>
      <c r="AH59" s="425">
        <f>IF(AND(F15&lt;&gt;4,F15&lt;&gt;5),0,IF(AV8="○",1,3))</f>
        <v>1</v>
      </c>
      <c r="AI59" s="153"/>
      <c r="AJ59" s="149"/>
      <c r="AK59" s="1046" t="s">
        <v>2379</v>
      </c>
      <c r="AL59" s="1046"/>
      <c r="AM59" s="1046"/>
      <c r="AN59" s="1046"/>
      <c r="AO59" s="1046"/>
      <c r="AP59" s="425">
        <f>IF(AV8="○",1,3)</f>
        <v>1</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426">
        <f>IF(AND(B9&lt;&gt;"処遇加算なし",F15=4),IF(V32="✓",1,IF(V33="✓",2,"")),"")</f>
        <v>2</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426">
        <f>IF(AND(B9&lt;&gt;"処遇加算なし",F15=4),IF(V36="✓",1,IF(V37="✓",2,"")),"")</f>
        <v>2</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426">
        <f>IF(AND(B9&lt;&gt;"処遇加算なし",F15=4),IF(V40="✓",1,IF(V41="✓",2,"")),"")</f>
        <v>2</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426">
        <f>IF(AND(B9&lt;&gt;"処遇加算なし",F15=4),IF(V44="✓",1,IF(V45="✓",2,"")),"")</f>
        <v>2</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F576" sheet="1" formatCells="0" formatColumns="0" formatRows="0" selectLockedCells="1" selectUnlockedCells="1"/>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J73"/>
  <sheetViews>
    <sheetView showGridLines="0" view="pageBreakPreview" zoomScaleNormal="53" zoomScaleSheetLayoutView="100" workbookViewId="0">
      <selection activeCell="AC17" sqref="AC1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2327</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1"/>
      <c r="AR2" s="431"/>
      <c r="CE2" s="992" t="s">
        <v>2193</v>
      </c>
      <c r="CF2" s="992"/>
      <c r="CG2" s="992"/>
      <c r="CH2" s="992"/>
      <c r="CI2" s="1208" t="str">
        <f>IF(AI1&lt;&gt;"",1,"")</f>
        <v/>
      </c>
      <c r="CJ2" s="1209"/>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0" t="str">
        <f>IF(AND(L9="ベア加算",Q49="ベア加算"),1,"")</f>
        <v/>
      </c>
      <c r="CJ3" s="1211"/>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4"/>
      <c r="Q5" s="1215"/>
      <c r="R5" s="1215"/>
      <c r="S5" s="1215"/>
      <c r="T5" s="1215"/>
      <c r="U5" s="1215"/>
      <c r="V5" s="1215"/>
      <c r="W5" s="1215"/>
      <c r="X5" s="1216"/>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2188</v>
      </c>
      <c r="CF7" s="1212"/>
      <c r="CG7" s="1212"/>
      <c r="CH7" s="1212"/>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2188</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3" t="str">
        <f>IFERROR(VLOOKUP(Y5,【参考】数式用!$A$5:$AB$37,MATCH(V11,【参考】数式用!$B$4:$AB$4,0)+1,FALSE),"")</f>
        <v/>
      </c>
      <c r="W12" s="1213"/>
      <c r="X12" s="1213"/>
      <c r="Y12" s="1213"/>
      <c r="Z12" s="1213"/>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7"/>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0" t="s">
        <v>2111</v>
      </c>
      <c r="F15" s="54">
        <v>4</v>
      </c>
      <c r="G15" s="430" t="s">
        <v>2112</v>
      </c>
      <c r="H15" s="1059" t="s">
        <v>2113</v>
      </c>
      <c r="I15" s="1059"/>
      <c r="J15" s="1072"/>
      <c r="K15" s="54">
        <v>7</v>
      </c>
      <c r="L15" s="430" t="s">
        <v>2111</v>
      </c>
      <c r="M15" s="54">
        <v>3</v>
      </c>
      <c r="N15" s="430" t="s">
        <v>2112</v>
      </c>
      <c r="O15" s="430" t="s">
        <v>2114</v>
      </c>
      <c r="P15" s="104">
        <f>(K15*12+M15)-(D15*12+F15)+1</f>
        <v>12</v>
      </c>
      <c r="Q15" s="1059" t="s">
        <v>2115</v>
      </c>
      <c r="R15" s="1059"/>
      <c r="S15" s="105" t="s">
        <v>69</v>
      </c>
      <c r="U15" s="427"/>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2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29"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29"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29"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29"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29"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29"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29"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9"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29"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9"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29"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9"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29"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9"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197" t="s">
        <v>13</v>
      </c>
      <c r="BB50" s="1198"/>
      <c r="BC50" s="1198"/>
      <c r="BD50" s="1199"/>
      <c r="BE50" s="1038" t="s">
        <v>2049</v>
      </c>
      <c r="BF50" s="1038"/>
      <c r="BG50" s="1038"/>
      <c r="BH50" s="1038"/>
      <c r="BI50" s="1038" t="s">
        <v>2052</v>
      </c>
      <c r="BJ50" s="1038"/>
      <c r="BK50" s="1038"/>
      <c r="BL50" s="1038"/>
      <c r="BM50" s="141"/>
      <c r="BN50" s="1038" t="s">
        <v>2051</v>
      </c>
      <c r="BO50" s="1038"/>
      <c r="BP50" s="1038"/>
      <c r="BQ50" s="1038"/>
      <c r="BR50" s="1038"/>
      <c r="BS50" s="1038"/>
      <c r="BT50" s="141"/>
      <c r="BV50" s="1197" t="s">
        <v>2054</v>
      </c>
      <c r="BW50" s="1198"/>
      <c r="BX50" s="1198"/>
      <c r="BY50" s="1198"/>
      <c r="BZ50" s="1198"/>
      <c r="CA50" s="1199"/>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F576" sheet="1" formatCells="0" formatColumns="0" formatRows="0" selectLockedCells="1" selectUnlockedCells="1"/>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CJ73"/>
  <sheetViews>
    <sheetView showGridLines="0" view="pageBreakPreview" zoomScaleNormal="53" zoomScaleSheetLayoutView="100" workbookViewId="0">
      <selection activeCell="AD26" sqref="AD26:AH2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2328</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8"/>
      <c r="AR2" s="438"/>
      <c r="CE2" s="992" t="s">
        <v>2193</v>
      </c>
      <c r="CF2" s="992"/>
      <c r="CG2" s="992"/>
      <c r="CH2" s="992"/>
      <c r="CI2" s="1208" t="str">
        <f>IF(AI1&lt;&gt;"",1,"")</f>
        <v/>
      </c>
      <c r="CJ2" s="1209"/>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0" t="str">
        <f>IF(AND(L9="ベア加算",Q49="ベア加算"),1,"")</f>
        <v/>
      </c>
      <c r="CJ3" s="1211"/>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4"/>
      <c r="Q5" s="1215"/>
      <c r="R5" s="1215"/>
      <c r="S5" s="1215"/>
      <c r="T5" s="1215"/>
      <c r="U5" s="1215"/>
      <c r="V5" s="1215"/>
      <c r="W5" s="1215"/>
      <c r="X5" s="1216"/>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2188</v>
      </c>
      <c r="CF7" s="1212"/>
      <c r="CG7" s="1212"/>
      <c r="CH7" s="1212"/>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2188</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3" t="str">
        <f>IFERROR(VLOOKUP(Y5,【参考】数式用!$A$5:$AB$37,MATCH(V11,【参考】数式用!$B$4:$AB$4,0)+1,FALSE),"")</f>
        <v/>
      </c>
      <c r="W12" s="1213"/>
      <c r="X12" s="1213"/>
      <c r="Y12" s="1213"/>
      <c r="Z12" s="1213"/>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5"/>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9" t="s">
        <v>2111</v>
      </c>
      <c r="F15" s="54">
        <v>4</v>
      </c>
      <c r="G15" s="439" t="s">
        <v>2112</v>
      </c>
      <c r="H15" s="1059" t="s">
        <v>2113</v>
      </c>
      <c r="I15" s="1059"/>
      <c r="J15" s="1072"/>
      <c r="K15" s="54">
        <v>7</v>
      </c>
      <c r="L15" s="439" t="s">
        <v>2111</v>
      </c>
      <c r="M15" s="54">
        <v>3</v>
      </c>
      <c r="N15" s="439" t="s">
        <v>2112</v>
      </c>
      <c r="O15" s="439" t="s">
        <v>2114</v>
      </c>
      <c r="P15" s="104">
        <f>(K15*12+M15)-(D15*12+F15)+1</f>
        <v>12</v>
      </c>
      <c r="Q15" s="1059" t="s">
        <v>2115</v>
      </c>
      <c r="R15" s="1059"/>
      <c r="S15" s="105" t="s">
        <v>69</v>
      </c>
      <c r="U15" s="435"/>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40"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40"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40"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40"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40"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40"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40"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40"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40"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40"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40"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40"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40"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40"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40"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7" t="s">
        <v>2054</v>
      </c>
      <c r="BW50" s="1198"/>
      <c r="BX50" s="1198"/>
      <c r="BY50" s="1198"/>
      <c r="BZ50" s="1198"/>
      <c r="CA50" s="1199"/>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F576" sheet="1" formatCells="0" formatColumns="0" formatRows="0" selectLockedCells="1" selectUnlockedCells="1"/>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CJ73"/>
  <sheetViews>
    <sheetView showGridLines="0" view="pageBreakPreview" zoomScaleNormal="53" zoomScaleSheetLayoutView="100" workbookViewId="0">
      <selection activeCell="AK20" sqref="AK20:AP20"/>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2329</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8" t="str">
        <f>IF(AI1&lt;&gt;"",1,"")</f>
        <v/>
      </c>
      <c r="CJ2" s="1209"/>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0" t="str">
        <f>IF(AND(L9="ベア加算",Q49="ベア加算"),1,"")</f>
        <v/>
      </c>
      <c r="CJ3" s="1211"/>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4"/>
      <c r="Q5" s="1215"/>
      <c r="R5" s="1215"/>
      <c r="S5" s="1215"/>
      <c r="T5" s="1215"/>
      <c r="U5" s="1215"/>
      <c r="V5" s="1215"/>
      <c r="W5" s="1215"/>
      <c r="X5" s="1216"/>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2188</v>
      </c>
      <c r="CF7" s="1212"/>
      <c r="CG7" s="1212"/>
      <c r="CH7" s="1212"/>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2188</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3" t="str">
        <f>IFERROR(VLOOKUP(Y5,【参考】数式用!$A$5:$AB$37,MATCH(V11,【参考】数式用!$B$4:$AB$4,0)+1,FALSE),"")</f>
        <v/>
      </c>
      <c r="W12" s="1213"/>
      <c r="X12" s="1213"/>
      <c r="Y12" s="1213"/>
      <c r="Z12" s="1213"/>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7" t="s">
        <v>2054</v>
      </c>
      <c r="BW50" s="1198"/>
      <c r="BX50" s="1198"/>
      <c r="BY50" s="1198"/>
      <c r="BZ50" s="1198"/>
      <c r="CA50" s="1199"/>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F576" sheet="1" formatCells="0" formatColumns="0" formatRows="0" selectLockedCells="1" selectUnlockedCells="1"/>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CJ73"/>
  <sheetViews>
    <sheetView showGridLines="0" view="pageBreakPreview"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2330</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8" t="str">
        <f>IF(AI1&lt;&gt;"",1,"")</f>
        <v/>
      </c>
      <c r="CJ2" s="1209"/>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0" t="str">
        <f>IF(AND(L9="ベア加算",Q49="ベア加算"),1,"")</f>
        <v/>
      </c>
      <c r="CJ3" s="1211"/>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4"/>
      <c r="Q5" s="1215"/>
      <c r="R5" s="1215"/>
      <c r="S5" s="1215"/>
      <c r="T5" s="1215"/>
      <c r="U5" s="1215"/>
      <c r="V5" s="1215"/>
      <c r="W5" s="1215"/>
      <c r="X5" s="1216"/>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2188</v>
      </c>
      <c r="CF7" s="1212"/>
      <c r="CG7" s="1212"/>
      <c r="CH7" s="1212"/>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2188</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3" t="str">
        <f>IFERROR(VLOOKUP(Y5,【参考】数式用!$A$5:$AB$37,MATCH(V11,【参考】数式用!$B$4:$AB$4,0)+1,FALSE),"")</f>
        <v/>
      </c>
      <c r="W12" s="1213"/>
      <c r="X12" s="1213"/>
      <c r="Y12" s="1213"/>
      <c r="Z12" s="1213"/>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7" t="s">
        <v>2054</v>
      </c>
      <c r="BW50" s="1198"/>
      <c r="BX50" s="1198"/>
      <c r="BY50" s="1198"/>
      <c r="BZ50" s="1198"/>
      <c r="CA50" s="1199"/>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F576" sheet="1" formatCells="0" formatColumns="0" formatRows="0" selectLockedCells="1" selectUnlockedCells="1"/>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CJ73"/>
  <sheetViews>
    <sheetView showGridLines="0" view="pageBreakPreview" zoomScaleNormal="53" zoomScaleSheetLayoutView="100" workbookViewId="0">
      <selection activeCell="AI24" sqref="AI24:AJ2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2331</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8" t="str">
        <f>IF(AI1&lt;&gt;"",1,"")</f>
        <v/>
      </c>
      <c r="CJ2" s="1209"/>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0" t="str">
        <f>IF(AND(L9="ベア加算",Q49="ベア加算"),1,"")</f>
        <v/>
      </c>
      <c r="CJ3" s="1211"/>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4"/>
      <c r="Q5" s="1215"/>
      <c r="R5" s="1215"/>
      <c r="S5" s="1215"/>
      <c r="T5" s="1215"/>
      <c r="U5" s="1215"/>
      <c r="V5" s="1215"/>
      <c r="W5" s="1215"/>
      <c r="X5" s="1216"/>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2188</v>
      </c>
      <c r="CF7" s="1212"/>
      <c r="CG7" s="1212"/>
      <c r="CH7" s="1212"/>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2188</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3" t="str">
        <f>IFERROR(VLOOKUP(Y5,【参考】数式用!$A$5:$AB$37,MATCH(V11,【参考】数式用!$B$4:$AB$4,0)+1,FALSE),"")</f>
        <v/>
      </c>
      <c r="W12" s="1213"/>
      <c r="X12" s="1213"/>
      <c r="Y12" s="1213"/>
      <c r="Z12" s="1213"/>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7" t="s">
        <v>2054</v>
      </c>
      <c r="BW50" s="1198"/>
      <c r="BX50" s="1198"/>
      <c r="BY50" s="1198"/>
      <c r="BZ50" s="1198"/>
      <c r="CA50" s="1199"/>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F576" sheet="1" formatCells="0" formatColumns="0" formatRows="0" selectLockedCells="1" selectUnlockedCells="1"/>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2024-03-18T06:59:04Z</cp:lastPrinted>
  <dcterms:created xsi:type="dcterms:W3CDTF">2015-06-05T18:19:34Z</dcterms:created>
  <dcterms:modified xsi:type="dcterms:W3CDTF">2024-03-29T07:15:08Z</dcterms:modified>
</cp:coreProperties>
</file>