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05" windowHeight="4020"/>
  </bookViews>
  <sheets>
    <sheet name="総括表" sheetId="13" r:id="rId1"/>
    <sheet name="１月" sheetId="1" r:id="rId2"/>
    <sheet name="２月" sheetId="2" r:id="rId3"/>
    <sheet name="３月" sheetId="3" r:id="rId4"/>
    <sheet name="４月" sheetId="4" r:id="rId5"/>
    <sheet name="５月" sheetId="5" r:id="rId6"/>
    <sheet name="６月" sheetId="6" r:id="rId7"/>
    <sheet name="７月" sheetId="7" r:id="rId8"/>
    <sheet name="８月" sheetId="8" r:id="rId9"/>
    <sheet name="９月" sheetId="9" r:id="rId10"/>
    <sheet name="１０月" sheetId="10" r:id="rId11"/>
    <sheet name="１１月" sheetId="11" r:id="rId12"/>
    <sheet name="１２月" sheetId="12" r:id="rId13"/>
  </sheets>
  <calcPr calcId="145621"/>
</workbook>
</file>

<file path=xl/calcChain.xml><?xml version="1.0" encoding="utf-8"?>
<calcChain xmlns="http://schemas.openxmlformats.org/spreadsheetml/2006/main">
  <c r="P129" i="12" l="1"/>
  <c r="P128" i="12"/>
  <c r="P89" i="12"/>
  <c r="P88" i="12"/>
  <c r="P60" i="12"/>
  <c r="P105" i="12" s="1"/>
  <c r="P142" i="12" s="1"/>
  <c r="P59" i="12"/>
  <c r="P104" i="12" s="1"/>
  <c r="P140" i="12" s="1"/>
  <c r="P38" i="12"/>
  <c r="P37" i="12"/>
  <c r="P128" i="11"/>
  <c r="P125" i="11"/>
  <c r="P123" i="11"/>
  <c r="P119" i="11"/>
  <c r="P115" i="11"/>
  <c r="P113" i="11"/>
  <c r="P109" i="11"/>
  <c r="P129" i="11" s="1"/>
  <c r="P103" i="11"/>
  <c r="P91" i="11"/>
  <c r="P88" i="11"/>
  <c r="P87" i="11"/>
  <c r="P79" i="11"/>
  <c r="P89" i="11" s="1"/>
  <c r="P59" i="11"/>
  <c r="P104" i="11" s="1"/>
  <c r="P140" i="11" s="1"/>
  <c r="P58" i="11"/>
  <c r="P56" i="11"/>
  <c r="P60" i="11" s="1"/>
  <c r="P54" i="11"/>
  <c r="P50" i="11"/>
  <c r="P42" i="11"/>
  <c r="P40" i="11"/>
  <c r="P128" i="10"/>
  <c r="P123" i="10"/>
  <c r="P115" i="10"/>
  <c r="P113" i="10"/>
  <c r="P109" i="10"/>
  <c r="P129" i="10" s="1"/>
  <c r="P103" i="10"/>
  <c r="P91" i="10"/>
  <c r="P88" i="10"/>
  <c r="P87" i="10"/>
  <c r="P79" i="10"/>
  <c r="P89" i="10" s="1"/>
  <c r="P59" i="10"/>
  <c r="P104" i="10" s="1"/>
  <c r="P140" i="10" s="1"/>
  <c r="P58" i="10"/>
  <c r="P56" i="10"/>
  <c r="P60" i="10" s="1"/>
  <c r="P54" i="10"/>
  <c r="P50" i="10"/>
  <c r="P42" i="10"/>
  <c r="P40" i="10"/>
  <c r="P128" i="9"/>
  <c r="P140" i="9" s="1"/>
  <c r="P125" i="9"/>
  <c r="P123" i="9"/>
  <c r="P115" i="9"/>
  <c r="P129" i="9" s="1"/>
  <c r="P113" i="9"/>
  <c r="P109" i="9"/>
  <c r="P104" i="9"/>
  <c r="P103" i="9"/>
  <c r="P91" i="9"/>
  <c r="P88" i="9"/>
  <c r="P87" i="9"/>
  <c r="P89" i="9" s="1"/>
  <c r="P79" i="9"/>
  <c r="P60" i="9"/>
  <c r="P59" i="9"/>
  <c r="P58" i="9"/>
  <c r="P56" i="9"/>
  <c r="P54" i="9"/>
  <c r="P50" i="9"/>
  <c r="P42" i="9"/>
  <c r="P40" i="9"/>
  <c r="P128" i="8"/>
  <c r="P127" i="8"/>
  <c r="P125" i="8"/>
  <c r="P115" i="8"/>
  <c r="P113" i="8"/>
  <c r="P109" i="8"/>
  <c r="P129" i="8" s="1"/>
  <c r="P142" i="8" s="1"/>
  <c r="P103" i="8"/>
  <c r="P91" i="8"/>
  <c r="P89" i="8"/>
  <c r="P88" i="8"/>
  <c r="P87" i="8"/>
  <c r="P79" i="8"/>
  <c r="P60" i="8"/>
  <c r="P59" i="8"/>
  <c r="P104" i="8" s="1"/>
  <c r="P140" i="8" s="1"/>
  <c r="P58" i="8"/>
  <c r="P56" i="8"/>
  <c r="P40" i="8"/>
  <c r="P105" i="8" s="1"/>
  <c r="P128" i="7"/>
  <c r="P127" i="7"/>
  <c r="P125" i="7"/>
  <c r="P115" i="7"/>
  <c r="P113" i="7"/>
  <c r="P129" i="7" s="1"/>
  <c r="P109" i="7"/>
  <c r="P103" i="7"/>
  <c r="P91" i="7"/>
  <c r="P88" i="7"/>
  <c r="P87" i="7"/>
  <c r="P79" i="7"/>
  <c r="P89" i="7" s="1"/>
  <c r="P59" i="7"/>
  <c r="P104" i="7" s="1"/>
  <c r="P58" i="7"/>
  <c r="P56" i="7"/>
  <c r="P60" i="7" s="1"/>
  <c r="P50" i="7"/>
  <c r="P40" i="7"/>
  <c r="P105" i="7" s="1"/>
  <c r="P128" i="6"/>
  <c r="P127" i="6"/>
  <c r="P125" i="6"/>
  <c r="P123" i="6"/>
  <c r="P115" i="6"/>
  <c r="P113" i="6"/>
  <c r="P109" i="6"/>
  <c r="P129" i="6" s="1"/>
  <c r="P103" i="6"/>
  <c r="P91" i="6"/>
  <c r="P88" i="6"/>
  <c r="P87" i="6"/>
  <c r="P79" i="6"/>
  <c r="P89" i="6" s="1"/>
  <c r="P59" i="6"/>
  <c r="P56" i="6"/>
  <c r="P60" i="6" s="1"/>
  <c r="P54" i="6"/>
  <c r="P50" i="6"/>
  <c r="P42" i="6"/>
  <c r="P38" i="6"/>
  <c r="P105" i="6" s="1"/>
  <c r="P37" i="6"/>
  <c r="P104" i="6" s="1"/>
  <c r="P140" i="6" s="1"/>
  <c r="P32" i="6"/>
  <c r="P128" i="5"/>
  <c r="P127" i="5"/>
  <c r="P125" i="5"/>
  <c r="P123" i="5"/>
  <c r="P115" i="5"/>
  <c r="P129" i="5" s="1"/>
  <c r="P113" i="5"/>
  <c r="P109" i="5"/>
  <c r="P103" i="5"/>
  <c r="P91" i="5"/>
  <c r="P89" i="5"/>
  <c r="P88" i="5"/>
  <c r="P87" i="5"/>
  <c r="P79" i="5"/>
  <c r="P60" i="5"/>
  <c r="P59" i="5"/>
  <c r="P104" i="5" s="1"/>
  <c r="P58" i="5"/>
  <c r="P56" i="5"/>
  <c r="P54" i="5"/>
  <c r="P42" i="5"/>
  <c r="P37" i="5"/>
  <c r="P32" i="5"/>
  <c r="P38" i="5" s="1"/>
  <c r="P105" i="5" s="1"/>
  <c r="P128" i="4"/>
  <c r="P125" i="4"/>
  <c r="P123" i="4"/>
  <c r="P115" i="4"/>
  <c r="P113" i="4"/>
  <c r="P109" i="4"/>
  <c r="P129" i="4" s="1"/>
  <c r="P142" i="4" s="1"/>
  <c r="P103" i="4"/>
  <c r="P91" i="4"/>
  <c r="P89" i="4"/>
  <c r="P88" i="4"/>
  <c r="P87" i="4"/>
  <c r="P79" i="4"/>
  <c r="P77" i="4"/>
  <c r="P76" i="4"/>
  <c r="P68" i="4"/>
  <c r="P54" i="4"/>
  <c r="P38" i="4"/>
  <c r="P105" i="4" s="1"/>
  <c r="P37" i="4"/>
  <c r="P104" i="4" s="1"/>
  <c r="P140" i="4" s="1"/>
  <c r="P32" i="4"/>
  <c r="P128" i="3"/>
  <c r="P140" i="3" s="1"/>
  <c r="P125" i="3"/>
  <c r="P123" i="3"/>
  <c r="P115" i="3"/>
  <c r="P109" i="3"/>
  <c r="P129" i="3" s="1"/>
  <c r="P103" i="3"/>
  <c r="P91" i="3"/>
  <c r="P88" i="3"/>
  <c r="P87" i="3"/>
  <c r="P79" i="3"/>
  <c r="P89" i="3" s="1"/>
  <c r="P37" i="3"/>
  <c r="P104" i="3" s="1"/>
  <c r="P32" i="3"/>
  <c r="P38" i="3" s="1"/>
  <c r="P140" i="2"/>
  <c r="P128" i="2"/>
  <c r="P125" i="2"/>
  <c r="P119" i="2"/>
  <c r="P115" i="2"/>
  <c r="P109" i="2"/>
  <c r="P129" i="2" s="1"/>
  <c r="P104" i="2"/>
  <c r="P103" i="2"/>
  <c r="P88" i="2"/>
  <c r="P87" i="2"/>
  <c r="P89" i="2" s="1"/>
  <c r="P79" i="2"/>
  <c r="P37" i="2"/>
  <c r="P32" i="2"/>
  <c r="P38" i="2" s="1"/>
  <c r="P105" i="2" s="1"/>
  <c r="P128" i="1"/>
  <c r="P125" i="1"/>
  <c r="P119" i="1"/>
  <c r="P115" i="1"/>
  <c r="P113" i="1"/>
  <c r="P109" i="1"/>
  <c r="P103" i="1"/>
  <c r="P88" i="1"/>
  <c r="P87" i="1"/>
  <c r="P79" i="1"/>
  <c r="P89" i="1" s="1"/>
  <c r="P50" i="1"/>
  <c r="P37" i="1"/>
  <c r="P104" i="1" s="1"/>
  <c r="P34" i="1"/>
  <c r="P32" i="1"/>
  <c r="O129" i="12"/>
  <c r="O128" i="12"/>
  <c r="O89" i="12"/>
  <c r="O88" i="12"/>
  <c r="O38" i="12"/>
  <c r="O105" i="12" s="1"/>
  <c r="O142" i="12" s="1"/>
  <c r="O37" i="12"/>
  <c r="O104" i="12" s="1"/>
  <c r="O140" i="12" s="1"/>
  <c r="O129" i="11"/>
  <c r="O128" i="11"/>
  <c r="O89" i="11"/>
  <c r="O88" i="11"/>
  <c r="O60" i="11"/>
  <c r="O105" i="11" s="1"/>
  <c r="O142" i="11" s="1"/>
  <c r="O59" i="11"/>
  <c r="O104" i="11" s="1"/>
  <c r="O140" i="11" s="1"/>
  <c r="O129" i="10"/>
  <c r="O128" i="10"/>
  <c r="O89" i="10"/>
  <c r="O88" i="10"/>
  <c r="O60" i="10"/>
  <c r="O105" i="10" s="1"/>
  <c r="O142" i="10" s="1"/>
  <c r="O59" i="10"/>
  <c r="O104" i="10" s="1"/>
  <c r="O140" i="10" s="1"/>
  <c r="O129" i="9"/>
  <c r="O128" i="9"/>
  <c r="O89" i="9"/>
  <c r="O88" i="9"/>
  <c r="O60" i="9"/>
  <c r="O105" i="9" s="1"/>
  <c r="O59" i="9"/>
  <c r="O104" i="9" s="1"/>
  <c r="O129" i="8"/>
  <c r="O128" i="8"/>
  <c r="O89" i="8"/>
  <c r="O88" i="8"/>
  <c r="O60" i="8"/>
  <c r="O105" i="8" s="1"/>
  <c r="O142" i="8" s="1"/>
  <c r="O59" i="8"/>
  <c r="O104" i="8" s="1"/>
  <c r="O140" i="8" s="1"/>
  <c r="O129" i="7"/>
  <c r="O128" i="7"/>
  <c r="O89" i="7"/>
  <c r="O88" i="7"/>
  <c r="O60" i="7"/>
  <c r="O105" i="7" s="1"/>
  <c r="O142" i="7" s="1"/>
  <c r="O59" i="7"/>
  <c r="O104" i="7" s="1"/>
  <c r="O140" i="7" s="1"/>
  <c r="O129" i="6"/>
  <c r="O128" i="6"/>
  <c r="O89" i="6"/>
  <c r="O88" i="6"/>
  <c r="O60" i="6"/>
  <c r="O105" i="6" s="1"/>
  <c r="O142" i="6" s="1"/>
  <c r="O59" i="6"/>
  <c r="O104" i="6" s="1"/>
  <c r="O129" i="5"/>
  <c r="O128" i="5"/>
  <c r="O89" i="5"/>
  <c r="O88" i="5"/>
  <c r="O60" i="5"/>
  <c r="O105" i="5" s="1"/>
  <c r="O142" i="5" s="1"/>
  <c r="O59" i="5"/>
  <c r="O104" i="5" s="1"/>
  <c r="O140" i="5" s="1"/>
  <c r="O129" i="4"/>
  <c r="O128" i="4"/>
  <c r="O105" i="4"/>
  <c r="O142" i="4" s="1"/>
  <c r="O104" i="4"/>
  <c r="O140" i="4" s="1"/>
  <c r="O89" i="4"/>
  <c r="O88" i="4"/>
  <c r="O129" i="3"/>
  <c r="O128" i="3"/>
  <c r="O89" i="3"/>
  <c r="O88" i="3"/>
  <c r="O38" i="3"/>
  <c r="O105" i="3" s="1"/>
  <c r="O142" i="3" s="1"/>
  <c r="O37" i="3"/>
  <c r="O104" i="3" s="1"/>
  <c r="O140" i="3" s="1"/>
  <c r="O129" i="2"/>
  <c r="O128" i="2"/>
  <c r="O89" i="2"/>
  <c r="O88" i="2"/>
  <c r="O38" i="2"/>
  <c r="O105" i="2" s="1"/>
  <c r="O142" i="2" s="1"/>
  <c r="O37" i="2"/>
  <c r="O104" i="2" s="1"/>
  <c r="O140" i="2" s="1"/>
  <c r="O129" i="1"/>
  <c r="O128" i="1"/>
  <c r="O89" i="1"/>
  <c r="O88" i="1"/>
  <c r="O38" i="1"/>
  <c r="O105" i="1" s="1"/>
  <c r="O142" i="1" s="1"/>
  <c r="O37" i="1"/>
  <c r="O104" i="1" s="1"/>
  <c r="O140" i="1" s="1"/>
  <c r="N129" i="12"/>
  <c r="N128" i="12"/>
  <c r="N89" i="12"/>
  <c r="N88" i="12"/>
  <c r="N60" i="12"/>
  <c r="N105" i="12" s="1"/>
  <c r="N142" i="12" s="1"/>
  <c r="N59" i="12"/>
  <c r="N38" i="12"/>
  <c r="N37" i="12"/>
  <c r="N104" i="12" s="1"/>
  <c r="N129" i="11"/>
  <c r="N128" i="11"/>
  <c r="N89" i="11"/>
  <c r="N88" i="11"/>
  <c r="N60" i="11"/>
  <c r="N59" i="11"/>
  <c r="N38" i="11"/>
  <c r="N37" i="11"/>
  <c r="N24" i="11"/>
  <c r="N105" i="11" s="1"/>
  <c r="N23" i="11"/>
  <c r="N104" i="11" s="1"/>
  <c r="N129" i="10"/>
  <c r="N128" i="10"/>
  <c r="N89" i="10"/>
  <c r="N88" i="10"/>
  <c r="N60" i="10"/>
  <c r="N59" i="10"/>
  <c r="N38" i="10"/>
  <c r="N37" i="10"/>
  <c r="N24" i="10"/>
  <c r="N23" i="10"/>
  <c r="N10" i="10"/>
  <c r="N105" i="10" s="1"/>
  <c r="N9" i="10"/>
  <c r="N104" i="10" s="1"/>
  <c r="N129" i="9"/>
  <c r="N128" i="9"/>
  <c r="N89" i="9"/>
  <c r="N88" i="9"/>
  <c r="N60" i="9"/>
  <c r="N105" i="9" s="1"/>
  <c r="N142" i="9" s="1"/>
  <c r="N59" i="9"/>
  <c r="N104" i="9" s="1"/>
  <c r="N140" i="9" s="1"/>
  <c r="N129" i="8"/>
  <c r="N128" i="8"/>
  <c r="N89" i="8"/>
  <c r="N88" i="8"/>
  <c r="N60" i="8"/>
  <c r="N105" i="8" s="1"/>
  <c r="N142" i="8" s="1"/>
  <c r="N59" i="8"/>
  <c r="N104" i="8" s="1"/>
  <c r="N140" i="8" s="1"/>
  <c r="N38" i="8"/>
  <c r="N37" i="8"/>
  <c r="N129" i="7"/>
  <c r="N128" i="7"/>
  <c r="N89" i="7"/>
  <c r="N88" i="7"/>
  <c r="N60" i="7"/>
  <c r="N59" i="7"/>
  <c r="N38" i="7"/>
  <c r="N37" i="7"/>
  <c r="N24" i="7"/>
  <c r="N105" i="7" s="1"/>
  <c r="N142" i="7" s="1"/>
  <c r="N23" i="7"/>
  <c r="N104" i="7" s="1"/>
  <c r="N140" i="7" s="1"/>
  <c r="N129" i="6"/>
  <c r="N128" i="6"/>
  <c r="N89" i="6"/>
  <c r="N88" i="6"/>
  <c r="N60" i="6"/>
  <c r="N59" i="6"/>
  <c r="N38" i="6"/>
  <c r="N37" i="6"/>
  <c r="N24" i="6"/>
  <c r="N105" i="6" s="1"/>
  <c r="N142" i="6" s="1"/>
  <c r="N23" i="6"/>
  <c r="N104" i="6" s="1"/>
  <c r="N140" i="6" s="1"/>
  <c r="N129" i="5"/>
  <c r="N128" i="5"/>
  <c r="N89" i="5"/>
  <c r="N88" i="5"/>
  <c r="N60" i="5"/>
  <c r="N105" i="5" s="1"/>
  <c r="N142" i="5" s="1"/>
  <c r="N59" i="5"/>
  <c r="N104" i="5" s="1"/>
  <c r="N140" i="5" s="1"/>
  <c r="N38" i="5"/>
  <c r="N37" i="5"/>
  <c r="N129" i="4"/>
  <c r="N128" i="4"/>
  <c r="N89" i="4"/>
  <c r="N88" i="4"/>
  <c r="N60" i="4"/>
  <c r="N105" i="4" s="1"/>
  <c r="N142" i="4" s="1"/>
  <c r="N59" i="4"/>
  <c r="N104" i="4" s="1"/>
  <c r="N140" i="4" s="1"/>
  <c r="N38" i="4"/>
  <c r="N37" i="4"/>
  <c r="N129" i="3"/>
  <c r="N128" i="3"/>
  <c r="N38" i="3"/>
  <c r="N105" i="3" s="1"/>
  <c r="N37" i="3"/>
  <c r="N104" i="3" s="1"/>
  <c r="N129" i="2"/>
  <c r="N128" i="2"/>
  <c r="N89" i="2"/>
  <c r="N88" i="2"/>
  <c r="N38" i="2"/>
  <c r="N105" i="2" s="1"/>
  <c r="N142" i="2" s="1"/>
  <c r="N37" i="2"/>
  <c r="N104" i="2" s="1"/>
  <c r="N140" i="2" s="1"/>
  <c r="N129" i="1"/>
  <c r="N128" i="1"/>
  <c r="N89" i="1"/>
  <c r="N88" i="1"/>
  <c r="N38" i="1"/>
  <c r="N105" i="1" s="1"/>
  <c r="N142" i="1" s="1"/>
  <c r="N37" i="1"/>
  <c r="M128" i="12"/>
  <c r="M125" i="12"/>
  <c r="M123" i="12"/>
  <c r="M115" i="12"/>
  <c r="M113" i="12"/>
  <c r="M129" i="12" s="1"/>
  <c r="M104" i="12"/>
  <c r="M140" i="12" s="1"/>
  <c r="M103" i="12"/>
  <c r="M88" i="12"/>
  <c r="M87" i="12"/>
  <c r="M89" i="12" s="1"/>
  <c r="M105" i="12" s="1"/>
  <c r="M79" i="12"/>
  <c r="M128" i="11"/>
  <c r="M125" i="11"/>
  <c r="M123" i="11"/>
  <c r="M115" i="11"/>
  <c r="M129" i="11" s="1"/>
  <c r="M103" i="11"/>
  <c r="M88" i="11"/>
  <c r="M104" i="11" s="1"/>
  <c r="M140" i="11" s="1"/>
  <c r="M87" i="11"/>
  <c r="M79" i="11"/>
  <c r="M89" i="11" s="1"/>
  <c r="M105" i="11" s="1"/>
  <c r="M128" i="10"/>
  <c r="M125" i="10"/>
  <c r="M123" i="10"/>
  <c r="M115" i="10"/>
  <c r="M129" i="10" s="1"/>
  <c r="M142" i="10" s="1"/>
  <c r="M103" i="10"/>
  <c r="M88" i="10"/>
  <c r="M104" i="10" s="1"/>
  <c r="M140" i="10" s="1"/>
  <c r="M79" i="10"/>
  <c r="M89" i="10" s="1"/>
  <c r="M105" i="10" s="1"/>
  <c r="M129" i="9"/>
  <c r="M142" i="9" s="1"/>
  <c r="M128" i="9"/>
  <c r="M125" i="9"/>
  <c r="M123" i="9"/>
  <c r="M115" i="9"/>
  <c r="M105" i="9"/>
  <c r="M103" i="9"/>
  <c r="M89" i="9"/>
  <c r="M88" i="9"/>
  <c r="M104" i="9" s="1"/>
  <c r="M79" i="9"/>
  <c r="M88" i="8"/>
  <c r="M87" i="8"/>
  <c r="M79" i="8"/>
  <c r="M89" i="8" s="1"/>
  <c r="M60" i="8"/>
  <c r="M105" i="8" s="1"/>
  <c r="M142" i="8" s="1"/>
  <c r="M59" i="8"/>
  <c r="M104" i="8" s="1"/>
  <c r="M140" i="8" s="1"/>
  <c r="M56" i="8"/>
  <c r="M128" i="7"/>
  <c r="M115" i="7"/>
  <c r="M129" i="7" s="1"/>
  <c r="M88" i="7"/>
  <c r="M87" i="7"/>
  <c r="M89" i="7" s="1"/>
  <c r="M79" i="7"/>
  <c r="M59" i="7"/>
  <c r="M104" i="7" s="1"/>
  <c r="M140" i="7" s="1"/>
  <c r="M56" i="7"/>
  <c r="M60" i="7" s="1"/>
  <c r="M128" i="6"/>
  <c r="M123" i="6"/>
  <c r="M115" i="6"/>
  <c r="M129" i="6" s="1"/>
  <c r="M89" i="6"/>
  <c r="M105" i="6" s="1"/>
  <c r="M88" i="6"/>
  <c r="M104" i="6" s="1"/>
  <c r="M140" i="6" s="1"/>
  <c r="M87" i="6"/>
  <c r="M128" i="5"/>
  <c r="M140" i="5" s="1"/>
  <c r="M125" i="5"/>
  <c r="M123" i="5"/>
  <c r="M115" i="5"/>
  <c r="M129" i="5" s="1"/>
  <c r="M142" i="5" s="1"/>
  <c r="M105" i="5"/>
  <c r="M103" i="5"/>
  <c r="M89" i="5"/>
  <c r="M88" i="5"/>
  <c r="M104" i="5" s="1"/>
  <c r="M87" i="5"/>
  <c r="M79" i="5"/>
  <c r="M129" i="4"/>
  <c r="M128" i="4"/>
  <c r="M140" i="4" s="1"/>
  <c r="M123" i="4"/>
  <c r="M104" i="4"/>
  <c r="M103" i="4"/>
  <c r="M88" i="4"/>
  <c r="M87" i="4"/>
  <c r="M79" i="4"/>
  <c r="M89" i="4" s="1"/>
  <c r="M105" i="4" s="1"/>
  <c r="M129" i="3"/>
  <c r="M128" i="3"/>
  <c r="M140" i="3" s="1"/>
  <c r="M125" i="3"/>
  <c r="M123" i="3"/>
  <c r="M104" i="3"/>
  <c r="M103" i="3"/>
  <c r="M88" i="3"/>
  <c r="M87" i="3"/>
  <c r="M79" i="3"/>
  <c r="M89" i="3" s="1"/>
  <c r="M105" i="3" s="1"/>
  <c r="M128" i="2"/>
  <c r="M125" i="2"/>
  <c r="M123" i="2"/>
  <c r="M115" i="2"/>
  <c r="M129" i="2" s="1"/>
  <c r="M142" i="2" s="1"/>
  <c r="M103" i="2"/>
  <c r="M88" i="2"/>
  <c r="M79" i="2"/>
  <c r="M89" i="2" s="1"/>
  <c r="M37" i="2"/>
  <c r="M104" i="2" s="1"/>
  <c r="M32" i="2"/>
  <c r="M38" i="2" s="1"/>
  <c r="M105" i="2" s="1"/>
  <c r="M128" i="1"/>
  <c r="M125" i="1"/>
  <c r="M123" i="1"/>
  <c r="M115" i="1"/>
  <c r="M129" i="1" s="1"/>
  <c r="M103" i="1"/>
  <c r="M88" i="1"/>
  <c r="M104" i="1" s="1"/>
  <c r="M87" i="1"/>
  <c r="M79" i="1"/>
  <c r="M89" i="1" s="1"/>
  <c r="L129" i="12"/>
  <c r="L128" i="12"/>
  <c r="L89" i="12"/>
  <c r="L88" i="12"/>
  <c r="L77" i="12"/>
  <c r="L76" i="12"/>
  <c r="L60" i="12"/>
  <c r="L59" i="12"/>
  <c r="L38" i="12"/>
  <c r="L37" i="12"/>
  <c r="L30" i="12"/>
  <c r="L29" i="12"/>
  <c r="L24" i="12"/>
  <c r="L23" i="12"/>
  <c r="L104" i="12" s="1"/>
  <c r="L140" i="12" s="1"/>
  <c r="L10" i="12"/>
  <c r="L105" i="12" s="1"/>
  <c r="L142" i="12" s="1"/>
  <c r="L9" i="12"/>
  <c r="L129" i="11"/>
  <c r="L128" i="11"/>
  <c r="L89" i="11"/>
  <c r="L88" i="11"/>
  <c r="L77" i="11"/>
  <c r="L76" i="11"/>
  <c r="L60" i="11"/>
  <c r="L59" i="11"/>
  <c r="L38" i="11"/>
  <c r="L37" i="11"/>
  <c r="L30" i="11"/>
  <c r="L29" i="11"/>
  <c r="L24" i="11"/>
  <c r="L105" i="11" s="1"/>
  <c r="L142" i="11" s="1"/>
  <c r="L23" i="11"/>
  <c r="L104" i="11" s="1"/>
  <c r="L140" i="11" s="1"/>
  <c r="L10" i="11"/>
  <c r="L9" i="11"/>
  <c r="L129" i="10"/>
  <c r="L128" i="10"/>
  <c r="L89" i="10"/>
  <c r="L88" i="10"/>
  <c r="L77" i="10"/>
  <c r="L76" i="10"/>
  <c r="L60" i="10"/>
  <c r="L59" i="10"/>
  <c r="L38" i="10"/>
  <c r="L37" i="10"/>
  <c r="L30" i="10"/>
  <c r="L29" i="10"/>
  <c r="L24" i="10"/>
  <c r="L23" i="10"/>
  <c r="L10" i="10"/>
  <c r="L105" i="10" s="1"/>
  <c r="L9" i="10"/>
  <c r="L104" i="10" s="1"/>
  <c r="L129" i="9"/>
  <c r="L128" i="9"/>
  <c r="L89" i="9"/>
  <c r="L88" i="9"/>
  <c r="L77" i="9"/>
  <c r="L76" i="9"/>
  <c r="L60" i="9"/>
  <c r="L59" i="9"/>
  <c r="L38" i="9"/>
  <c r="L37" i="9"/>
  <c r="L30" i="9"/>
  <c r="L29" i="9"/>
  <c r="L24" i="9"/>
  <c r="L105" i="9" s="1"/>
  <c r="L142" i="9" s="1"/>
  <c r="L23" i="9"/>
  <c r="L104" i="9" s="1"/>
  <c r="L140" i="9" s="1"/>
  <c r="L10" i="9"/>
  <c r="L9" i="9"/>
  <c r="L139" i="8"/>
  <c r="L137" i="8"/>
  <c r="L129" i="8"/>
  <c r="L128" i="8"/>
  <c r="L89" i="8"/>
  <c r="L88" i="8"/>
  <c r="L77" i="8"/>
  <c r="L76" i="8"/>
  <c r="L60" i="8"/>
  <c r="L59" i="8"/>
  <c r="L38" i="8"/>
  <c r="L37" i="8"/>
  <c r="L30" i="8"/>
  <c r="L29" i="8"/>
  <c r="L24" i="8"/>
  <c r="L105" i="8" s="1"/>
  <c r="L23" i="8"/>
  <c r="L104" i="8" s="1"/>
  <c r="L129" i="7"/>
  <c r="L128" i="7"/>
  <c r="L89" i="7"/>
  <c r="L88" i="7"/>
  <c r="L77" i="7"/>
  <c r="L76" i="7"/>
  <c r="L60" i="7"/>
  <c r="L59" i="7"/>
  <c r="L38" i="7"/>
  <c r="L37" i="7"/>
  <c r="L30" i="7"/>
  <c r="L29" i="7"/>
  <c r="L24" i="7"/>
  <c r="L105" i="7" s="1"/>
  <c r="L142" i="7" s="1"/>
  <c r="L23" i="7"/>
  <c r="L104" i="7" s="1"/>
  <c r="L140" i="7" s="1"/>
  <c r="L129" i="6"/>
  <c r="L128" i="6"/>
  <c r="L89" i="6"/>
  <c r="L88" i="6"/>
  <c r="L77" i="6"/>
  <c r="L76" i="6"/>
  <c r="L60" i="6"/>
  <c r="L59" i="6"/>
  <c r="L38" i="6"/>
  <c r="L37" i="6"/>
  <c r="L30" i="6"/>
  <c r="L29" i="6"/>
  <c r="L24" i="6"/>
  <c r="L105" i="6" s="1"/>
  <c r="L142" i="6" s="1"/>
  <c r="L23" i="6"/>
  <c r="L104" i="6" s="1"/>
  <c r="L140" i="6" s="1"/>
  <c r="L139" i="5"/>
  <c r="L137" i="5"/>
  <c r="L129" i="5"/>
  <c r="L128" i="5"/>
  <c r="L89" i="5"/>
  <c r="L88" i="5"/>
  <c r="L77" i="5"/>
  <c r="L76" i="5"/>
  <c r="L60" i="5"/>
  <c r="L59" i="5"/>
  <c r="L38" i="5"/>
  <c r="L37" i="5"/>
  <c r="L30" i="5"/>
  <c r="L29" i="5"/>
  <c r="L24" i="5"/>
  <c r="L105" i="5" s="1"/>
  <c r="L23" i="5"/>
  <c r="L104" i="5" s="1"/>
  <c r="L139" i="4"/>
  <c r="L137" i="4"/>
  <c r="L129" i="4"/>
  <c r="L128" i="4"/>
  <c r="L89" i="4"/>
  <c r="L88" i="4"/>
  <c r="L77" i="4"/>
  <c r="L76" i="4"/>
  <c r="L60" i="4"/>
  <c r="L59" i="4"/>
  <c r="L38" i="4"/>
  <c r="L37" i="4"/>
  <c r="L30" i="4"/>
  <c r="L29" i="4"/>
  <c r="L24" i="4"/>
  <c r="L105" i="4" s="1"/>
  <c r="L23" i="4"/>
  <c r="L104" i="4" s="1"/>
  <c r="L139" i="3"/>
  <c r="L137" i="3"/>
  <c r="L129" i="3"/>
  <c r="L128" i="3"/>
  <c r="L89" i="3"/>
  <c r="L88" i="3"/>
  <c r="L77" i="3"/>
  <c r="L76" i="3"/>
  <c r="L60" i="3"/>
  <c r="L59" i="3"/>
  <c r="L38" i="3"/>
  <c r="L37" i="3"/>
  <c r="L30" i="3"/>
  <c r="L29" i="3"/>
  <c r="L24" i="3"/>
  <c r="L105" i="3" s="1"/>
  <c r="L23" i="3"/>
  <c r="L104" i="3" s="1"/>
  <c r="L139" i="2"/>
  <c r="L137" i="2"/>
  <c r="L129" i="2"/>
  <c r="L128" i="2"/>
  <c r="L89" i="2"/>
  <c r="L88" i="2"/>
  <c r="L77" i="2"/>
  <c r="L76" i="2"/>
  <c r="L60" i="2"/>
  <c r="L59" i="2"/>
  <c r="L38" i="2"/>
  <c r="L37" i="2"/>
  <c r="L30" i="2"/>
  <c r="L29" i="2"/>
  <c r="L24" i="2"/>
  <c r="L23" i="2"/>
  <c r="L10" i="2"/>
  <c r="L105" i="2" s="1"/>
  <c r="L9" i="2"/>
  <c r="L104" i="2" s="1"/>
  <c r="L139" i="1"/>
  <c r="L137" i="1"/>
  <c r="L129" i="1"/>
  <c r="L128" i="1"/>
  <c r="L89" i="1"/>
  <c r="L88" i="1"/>
  <c r="L77" i="1"/>
  <c r="L76" i="1"/>
  <c r="L60" i="1"/>
  <c r="L59" i="1"/>
  <c r="L38" i="1"/>
  <c r="L37" i="1"/>
  <c r="L30" i="1"/>
  <c r="L29" i="1"/>
  <c r="L24" i="1"/>
  <c r="L23" i="1"/>
  <c r="L10" i="1"/>
  <c r="L9" i="1"/>
  <c r="L104" i="1" s="1"/>
  <c r="K129" i="12"/>
  <c r="K128" i="12"/>
  <c r="K89" i="12"/>
  <c r="K88" i="12"/>
  <c r="K77" i="12"/>
  <c r="K76" i="12"/>
  <c r="K60" i="12"/>
  <c r="K59" i="12"/>
  <c r="K38" i="12"/>
  <c r="K37" i="12"/>
  <c r="K24" i="12"/>
  <c r="K23" i="12"/>
  <c r="K10" i="12"/>
  <c r="K105" i="12" s="1"/>
  <c r="K142" i="12" s="1"/>
  <c r="K9" i="12"/>
  <c r="K104" i="12" s="1"/>
  <c r="K140" i="12" s="1"/>
  <c r="K129" i="11"/>
  <c r="K128" i="11"/>
  <c r="K89" i="11"/>
  <c r="K88" i="11"/>
  <c r="K77" i="11"/>
  <c r="K76" i="11"/>
  <c r="K60" i="11"/>
  <c r="K59" i="11"/>
  <c r="K38" i="11"/>
  <c r="K37" i="11"/>
  <c r="K30" i="11"/>
  <c r="K29" i="11"/>
  <c r="K24" i="11"/>
  <c r="K23" i="11"/>
  <c r="K10" i="11"/>
  <c r="K105" i="11" s="1"/>
  <c r="K9" i="11"/>
  <c r="K104" i="11" s="1"/>
  <c r="K129" i="10"/>
  <c r="K128" i="10"/>
  <c r="K89" i="10"/>
  <c r="K88" i="10"/>
  <c r="K77" i="10"/>
  <c r="K76" i="10"/>
  <c r="K60" i="10"/>
  <c r="K59" i="10"/>
  <c r="K38" i="10"/>
  <c r="K37" i="10"/>
  <c r="K24" i="10"/>
  <c r="K23" i="10"/>
  <c r="K10" i="10"/>
  <c r="K105" i="10" s="1"/>
  <c r="K142" i="10" s="1"/>
  <c r="K9" i="10"/>
  <c r="K104" i="10" s="1"/>
  <c r="K140" i="10" s="1"/>
  <c r="K129" i="9"/>
  <c r="K128" i="9"/>
  <c r="K140" i="9" s="1"/>
  <c r="K89" i="9"/>
  <c r="K88" i="9"/>
  <c r="K77" i="9"/>
  <c r="K76" i="9"/>
  <c r="K60" i="9"/>
  <c r="K59" i="9"/>
  <c r="K38" i="9"/>
  <c r="K37" i="9"/>
  <c r="K30" i="9"/>
  <c r="K29" i="9"/>
  <c r="K24" i="9"/>
  <c r="K105" i="9" s="1"/>
  <c r="K142" i="9" s="1"/>
  <c r="K23" i="9"/>
  <c r="K10" i="9"/>
  <c r="K9" i="9"/>
  <c r="K104" i="9" s="1"/>
  <c r="K129" i="8"/>
  <c r="K128" i="8"/>
  <c r="K89" i="8"/>
  <c r="K88" i="8"/>
  <c r="K60" i="8"/>
  <c r="K59" i="8"/>
  <c r="K38" i="8"/>
  <c r="K37" i="8"/>
  <c r="K30" i="8"/>
  <c r="K29" i="8"/>
  <c r="K24" i="8"/>
  <c r="K23" i="8"/>
  <c r="K10" i="8"/>
  <c r="K105" i="8" s="1"/>
  <c r="K142" i="8" s="1"/>
  <c r="K9" i="8"/>
  <c r="K104" i="8" s="1"/>
  <c r="K140" i="8" s="1"/>
  <c r="K129" i="7"/>
  <c r="K128" i="7"/>
  <c r="K89" i="7"/>
  <c r="K88" i="7"/>
  <c r="K77" i="7"/>
  <c r="K76" i="7"/>
  <c r="K60" i="7"/>
  <c r="K59" i="7"/>
  <c r="K38" i="7"/>
  <c r="K37" i="7"/>
  <c r="K24" i="7"/>
  <c r="K23" i="7"/>
  <c r="K10" i="7"/>
  <c r="K105" i="7" s="1"/>
  <c r="K142" i="7" s="1"/>
  <c r="K9" i="7"/>
  <c r="K104" i="7" s="1"/>
  <c r="K140" i="7" s="1"/>
  <c r="K129" i="6"/>
  <c r="K128" i="6"/>
  <c r="K89" i="6"/>
  <c r="K88" i="6"/>
  <c r="K60" i="6"/>
  <c r="K59" i="6"/>
  <c r="K38" i="6"/>
  <c r="K37" i="6"/>
  <c r="K30" i="6"/>
  <c r="K29" i="6"/>
  <c r="K24" i="6"/>
  <c r="K23" i="6"/>
  <c r="K10" i="6"/>
  <c r="K105" i="6" s="1"/>
  <c r="K9" i="6"/>
  <c r="K104" i="6" s="1"/>
  <c r="K129" i="5"/>
  <c r="K128" i="5"/>
  <c r="K89" i="5"/>
  <c r="K88" i="5"/>
  <c r="K77" i="5"/>
  <c r="K76" i="5"/>
  <c r="K60" i="5"/>
  <c r="K59" i="5"/>
  <c r="K38" i="5"/>
  <c r="K37" i="5"/>
  <c r="K24" i="5"/>
  <c r="K23" i="5"/>
  <c r="K10" i="5"/>
  <c r="K105" i="5" s="1"/>
  <c r="K142" i="5" s="1"/>
  <c r="K9" i="5"/>
  <c r="K104" i="5" s="1"/>
  <c r="K140" i="5" s="1"/>
  <c r="K129" i="4"/>
  <c r="K128" i="4"/>
  <c r="K89" i="4"/>
  <c r="K88" i="4"/>
  <c r="K77" i="4"/>
  <c r="K76" i="4"/>
  <c r="K38" i="4"/>
  <c r="K37" i="4"/>
  <c r="K24" i="4"/>
  <c r="K105" i="4" s="1"/>
  <c r="K142" i="4" s="1"/>
  <c r="K23" i="4"/>
  <c r="K104" i="4" s="1"/>
  <c r="K140" i="4" s="1"/>
  <c r="K10" i="4"/>
  <c r="K9" i="4"/>
  <c r="K129" i="3"/>
  <c r="K128" i="3"/>
  <c r="K89" i="3"/>
  <c r="K88" i="3"/>
  <c r="K77" i="3"/>
  <c r="K76" i="3"/>
  <c r="K38" i="3"/>
  <c r="K37" i="3"/>
  <c r="K10" i="3"/>
  <c r="K105" i="3" s="1"/>
  <c r="K142" i="3" s="1"/>
  <c r="K9" i="3"/>
  <c r="K104" i="3" s="1"/>
  <c r="K140" i="3" s="1"/>
  <c r="K139" i="2"/>
  <c r="K137" i="2"/>
  <c r="K129" i="2"/>
  <c r="K128" i="2"/>
  <c r="K89" i="2"/>
  <c r="K88" i="2"/>
  <c r="K77" i="2"/>
  <c r="K76" i="2"/>
  <c r="K60" i="2"/>
  <c r="K59" i="2"/>
  <c r="K38" i="2"/>
  <c r="K37" i="2"/>
  <c r="K10" i="2"/>
  <c r="K105" i="2" s="1"/>
  <c r="K9" i="2"/>
  <c r="K104" i="2" s="1"/>
  <c r="K139" i="1"/>
  <c r="K137" i="1"/>
  <c r="K129" i="1"/>
  <c r="K128" i="1"/>
  <c r="K89" i="1"/>
  <c r="K88" i="1"/>
  <c r="K77" i="1"/>
  <c r="K76" i="1"/>
  <c r="K60" i="1"/>
  <c r="K59" i="1"/>
  <c r="K38" i="1"/>
  <c r="K37" i="1"/>
  <c r="K10" i="1"/>
  <c r="K105" i="1" s="1"/>
  <c r="K9" i="1"/>
  <c r="H139" i="12"/>
  <c r="H137" i="12"/>
  <c r="H129" i="12"/>
  <c r="H128" i="12"/>
  <c r="H89" i="12"/>
  <c r="H88" i="12"/>
  <c r="H77" i="12"/>
  <c r="H76" i="12"/>
  <c r="H60" i="12"/>
  <c r="H59" i="12"/>
  <c r="H38" i="12"/>
  <c r="H37" i="12"/>
  <c r="H24" i="12"/>
  <c r="H23" i="12"/>
  <c r="H10" i="12"/>
  <c r="H105" i="12" s="1"/>
  <c r="H9" i="12"/>
  <c r="H104" i="12" s="1"/>
  <c r="H139" i="11"/>
  <c r="H137" i="11"/>
  <c r="H129" i="11"/>
  <c r="H128" i="11"/>
  <c r="H89" i="11"/>
  <c r="H88" i="11"/>
  <c r="H77" i="11"/>
  <c r="H76" i="11"/>
  <c r="H60" i="11"/>
  <c r="H59" i="11"/>
  <c r="H38" i="11"/>
  <c r="H37" i="11"/>
  <c r="H24" i="11"/>
  <c r="H23" i="11"/>
  <c r="H10" i="11"/>
  <c r="H105" i="11" s="1"/>
  <c r="H9" i="11"/>
  <c r="H104" i="11" s="1"/>
  <c r="H139" i="10"/>
  <c r="H137" i="10"/>
  <c r="H129" i="10"/>
  <c r="H128" i="10"/>
  <c r="H89" i="10"/>
  <c r="H88" i="10"/>
  <c r="H77" i="10"/>
  <c r="H76" i="10"/>
  <c r="H60" i="10"/>
  <c r="H59" i="10"/>
  <c r="H38" i="10"/>
  <c r="H37" i="10"/>
  <c r="H24" i="10"/>
  <c r="H23" i="10"/>
  <c r="H10" i="10"/>
  <c r="H105" i="10" s="1"/>
  <c r="H9" i="10"/>
  <c r="H104" i="10" s="1"/>
  <c r="H139" i="9"/>
  <c r="H137" i="9"/>
  <c r="H129" i="9"/>
  <c r="H128" i="9"/>
  <c r="H89" i="9"/>
  <c r="H88" i="9"/>
  <c r="H77" i="9"/>
  <c r="H76" i="9"/>
  <c r="H60" i="9"/>
  <c r="H59" i="9"/>
  <c r="H38" i="9"/>
  <c r="H37" i="9"/>
  <c r="H30" i="9"/>
  <c r="H29" i="9"/>
  <c r="H24" i="9"/>
  <c r="H23" i="9"/>
  <c r="H10" i="9"/>
  <c r="H105" i="9" s="1"/>
  <c r="H9" i="9"/>
  <c r="H104" i="9" s="1"/>
  <c r="H139" i="8"/>
  <c r="H137" i="8"/>
  <c r="H129" i="8"/>
  <c r="H128" i="8"/>
  <c r="H89" i="8"/>
  <c r="H88" i="8"/>
  <c r="H77" i="8"/>
  <c r="H76" i="8"/>
  <c r="H60" i="8"/>
  <c r="H59" i="8"/>
  <c r="H38" i="8"/>
  <c r="H37" i="8"/>
  <c r="H30" i="8"/>
  <c r="H29" i="8"/>
  <c r="H24" i="8"/>
  <c r="H105" i="8" s="1"/>
  <c r="H23" i="8"/>
  <c r="H104" i="8" s="1"/>
  <c r="H10" i="8"/>
  <c r="H9" i="8"/>
  <c r="H129" i="7"/>
  <c r="H128" i="7"/>
  <c r="H89" i="7"/>
  <c r="H88" i="7"/>
  <c r="H77" i="7"/>
  <c r="H76" i="7"/>
  <c r="H60" i="7"/>
  <c r="H59" i="7"/>
  <c r="H38" i="7"/>
  <c r="H37" i="7"/>
  <c r="H30" i="7"/>
  <c r="H29" i="7"/>
  <c r="H24" i="7"/>
  <c r="H23" i="7"/>
  <c r="H10" i="7"/>
  <c r="H105" i="7" s="1"/>
  <c r="H9" i="7"/>
  <c r="H104" i="7" s="1"/>
  <c r="H139" i="6"/>
  <c r="H137" i="6"/>
  <c r="H129" i="6"/>
  <c r="H142" i="6" s="1"/>
  <c r="H128" i="6"/>
  <c r="H140" i="6" s="1"/>
  <c r="H89" i="6"/>
  <c r="H88" i="6"/>
  <c r="H77" i="6"/>
  <c r="H76" i="6"/>
  <c r="H60" i="6"/>
  <c r="H59" i="6"/>
  <c r="H38" i="6"/>
  <c r="H37" i="6"/>
  <c r="H30" i="6"/>
  <c r="H29" i="6"/>
  <c r="H24" i="6"/>
  <c r="H23" i="6"/>
  <c r="H10" i="6"/>
  <c r="H105" i="6" s="1"/>
  <c r="H9" i="6"/>
  <c r="H104" i="6" s="1"/>
  <c r="H139" i="5"/>
  <c r="H137" i="5"/>
  <c r="H129" i="5"/>
  <c r="H128" i="5"/>
  <c r="H89" i="5"/>
  <c r="H88" i="5"/>
  <c r="H77" i="5"/>
  <c r="H76" i="5"/>
  <c r="H60" i="5"/>
  <c r="H59" i="5"/>
  <c r="H38" i="5"/>
  <c r="H37" i="5"/>
  <c r="H30" i="5"/>
  <c r="H29" i="5"/>
  <c r="H24" i="5"/>
  <c r="H23" i="5"/>
  <c r="H10" i="5"/>
  <c r="H105" i="5" s="1"/>
  <c r="H9" i="5"/>
  <c r="H104" i="5" s="1"/>
  <c r="H139" i="4"/>
  <c r="H137" i="4"/>
  <c r="H129" i="4"/>
  <c r="H128" i="4"/>
  <c r="H89" i="4"/>
  <c r="H88" i="4"/>
  <c r="H77" i="4"/>
  <c r="H76" i="4"/>
  <c r="H60" i="4"/>
  <c r="H59" i="4"/>
  <c r="H38" i="4"/>
  <c r="H37" i="4"/>
  <c r="H24" i="4"/>
  <c r="H23" i="4"/>
  <c r="H10" i="4"/>
  <c r="H105" i="4" s="1"/>
  <c r="H9" i="4"/>
  <c r="H104" i="4" s="1"/>
  <c r="H139" i="3"/>
  <c r="H137" i="3"/>
  <c r="H129" i="3"/>
  <c r="H128" i="3"/>
  <c r="H89" i="3"/>
  <c r="H88" i="3"/>
  <c r="H77" i="3"/>
  <c r="H76" i="3"/>
  <c r="H60" i="3"/>
  <c r="H59" i="3"/>
  <c r="H38" i="3"/>
  <c r="H37" i="3"/>
  <c r="H10" i="3"/>
  <c r="H105" i="3" s="1"/>
  <c r="H9" i="3"/>
  <c r="H104" i="3" s="1"/>
  <c r="H139" i="2"/>
  <c r="H137" i="2"/>
  <c r="H129" i="2"/>
  <c r="H128" i="2"/>
  <c r="H89" i="2"/>
  <c r="H88" i="2"/>
  <c r="H77" i="2"/>
  <c r="H76" i="2"/>
  <c r="H60" i="2"/>
  <c r="H59" i="2"/>
  <c r="H38" i="2"/>
  <c r="H37" i="2"/>
  <c r="H10" i="2"/>
  <c r="H105" i="2" s="1"/>
  <c r="H9" i="2"/>
  <c r="H104" i="2" s="1"/>
  <c r="H139" i="1"/>
  <c r="H137" i="1"/>
  <c r="H129" i="1"/>
  <c r="H128" i="1"/>
  <c r="H89" i="1"/>
  <c r="H88" i="1"/>
  <c r="H77" i="1"/>
  <c r="H76" i="1"/>
  <c r="H60" i="1"/>
  <c r="H59" i="1"/>
  <c r="H38" i="1"/>
  <c r="H37" i="1"/>
  <c r="H10" i="1"/>
  <c r="H9" i="1"/>
  <c r="H104" i="1" s="1"/>
  <c r="G139" i="12"/>
  <c r="G142" i="12" s="1"/>
  <c r="G137" i="12"/>
  <c r="G140" i="12" s="1"/>
  <c r="G129" i="12"/>
  <c r="G128" i="12"/>
  <c r="G89" i="12"/>
  <c r="G88" i="12"/>
  <c r="G77" i="12"/>
  <c r="G76" i="12"/>
  <c r="G60" i="12"/>
  <c r="G59" i="12"/>
  <c r="G38" i="12"/>
  <c r="G37" i="12"/>
  <c r="G30" i="12"/>
  <c r="G29" i="12"/>
  <c r="G24" i="12"/>
  <c r="G105" i="12" s="1"/>
  <c r="G23" i="12"/>
  <c r="G104" i="12" s="1"/>
  <c r="G10" i="12"/>
  <c r="G9" i="12"/>
  <c r="G139" i="11"/>
  <c r="G137" i="11"/>
  <c r="G129" i="11"/>
  <c r="G128" i="11"/>
  <c r="G89" i="11"/>
  <c r="G88" i="11"/>
  <c r="G77" i="11"/>
  <c r="G76" i="11"/>
  <c r="G60" i="11"/>
  <c r="G59" i="11"/>
  <c r="G38" i="11"/>
  <c r="G37" i="11"/>
  <c r="G30" i="11"/>
  <c r="G29" i="11"/>
  <c r="G24" i="11"/>
  <c r="G23" i="11"/>
  <c r="G10" i="11"/>
  <c r="G105" i="11" s="1"/>
  <c r="G9" i="11"/>
  <c r="G104" i="11" s="1"/>
  <c r="G129" i="10"/>
  <c r="G128" i="10"/>
  <c r="G89" i="10"/>
  <c r="G88" i="10"/>
  <c r="G77" i="10"/>
  <c r="G76" i="10"/>
  <c r="G60" i="10"/>
  <c r="G59" i="10"/>
  <c r="G38" i="10"/>
  <c r="G37" i="10"/>
  <c r="G30" i="10"/>
  <c r="G29" i="10"/>
  <c r="G24" i="10"/>
  <c r="G105" i="10" s="1"/>
  <c r="G142" i="10" s="1"/>
  <c r="G23" i="10"/>
  <c r="G104" i="10" s="1"/>
  <c r="G140" i="10" s="1"/>
  <c r="G10" i="10"/>
  <c r="G9" i="10"/>
  <c r="G139" i="9"/>
  <c r="G137" i="9"/>
  <c r="G129" i="9"/>
  <c r="G128" i="9"/>
  <c r="G89" i="9"/>
  <c r="G88" i="9"/>
  <c r="G77" i="9"/>
  <c r="G76" i="9"/>
  <c r="G60" i="9"/>
  <c r="G59" i="9"/>
  <c r="G38" i="9"/>
  <c r="G37" i="9"/>
  <c r="G30" i="9"/>
  <c r="G29" i="9"/>
  <c r="G24" i="9"/>
  <c r="G23" i="9"/>
  <c r="G10" i="9"/>
  <c r="G105" i="9" s="1"/>
  <c r="G9" i="9"/>
  <c r="G104" i="9" s="1"/>
  <c r="G139" i="8"/>
  <c r="G137" i="8"/>
  <c r="G129" i="8"/>
  <c r="G142" i="8" s="1"/>
  <c r="G128" i="8"/>
  <c r="G140" i="8" s="1"/>
  <c r="G89" i="8"/>
  <c r="G88" i="8"/>
  <c r="G77" i="8"/>
  <c r="G76" i="8"/>
  <c r="G60" i="8"/>
  <c r="G59" i="8"/>
  <c r="G38" i="8"/>
  <c r="G37" i="8"/>
  <c r="G30" i="8"/>
  <c r="G29" i="8"/>
  <c r="G24" i="8"/>
  <c r="G23" i="8"/>
  <c r="G10" i="8"/>
  <c r="G105" i="8" s="1"/>
  <c r="G9" i="8"/>
  <c r="G104" i="8" s="1"/>
  <c r="G139" i="7"/>
  <c r="G142" i="7" s="1"/>
  <c r="G137" i="7"/>
  <c r="G140" i="7" s="1"/>
  <c r="G129" i="7"/>
  <c r="G128" i="7"/>
  <c r="G105" i="7"/>
  <c r="G104" i="7"/>
  <c r="G89" i="7"/>
  <c r="G88" i="7"/>
  <c r="G77" i="7"/>
  <c r="G76" i="7"/>
  <c r="G60" i="7"/>
  <c r="G59" i="7"/>
  <c r="G38" i="7"/>
  <c r="G37" i="7"/>
  <c r="G30" i="7"/>
  <c r="G29" i="7"/>
  <c r="G24" i="7"/>
  <c r="G23" i="7"/>
  <c r="G10" i="7"/>
  <c r="G9" i="7"/>
  <c r="G139" i="6"/>
  <c r="G142" i="6" s="1"/>
  <c r="G137" i="6"/>
  <c r="G140" i="6" s="1"/>
  <c r="G129" i="6"/>
  <c r="G128" i="6"/>
  <c r="G105" i="6"/>
  <c r="G104" i="6"/>
  <c r="G89" i="6"/>
  <c r="G88" i="6"/>
  <c r="G77" i="6"/>
  <c r="G76" i="6"/>
  <c r="G60" i="6"/>
  <c r="G59" i="6"/>
  <c r="G38" i="6"/>
  <c r="G37" i="6"/>
  <c r="G30" i="6"/>
  <c r="G29" i="6"/>
  <c r="G24" i="6"/>
  <c r="G23" i="6"/>
  <c r="G10" i="6"/>
  <c r="G9" i="6"/>
  <c r="G139" i="5"/>
  <c r="G137" i="5"/>
  <c r="G129" i="5"/>
  <c r="G128" i="5"/>
  <c r="G89" i="5"/>
  <c r="G88" i="5"/>
  <c r="G77" i="5"/>
  <c r="G76" i="5"/>
  <c r="G60" i="5"/>
  <c r="G59" i="5"/>
  <c r="G38" i="5"/>
  <c r="G37" i="5"/>
  <c r="G30" i="5"/>
  <c r="G29" i="5"/>
  <c r="G24" i="5"/>
  <c r="G105" i="5" s="1"/>
  <c r="G23" i="5"/>
  <c r="G104" i="5" s="1"/>
  <c r="G10" i="5"/>
  <c r="G9" i="5"/>
  <c r="G139" i="4"/>
  <c r="G142" i="4" s="1"/>
  <c r="G137" i="4"/>
  <c r="G129" i="4"/>
  <c r="G128" i="4"/>
  <c r="G89" i="4"/>
  <c r="G88" i="4"/>
  <c r="G77" i="4"/>
  <c r="G76" i="4"/>
  <c r="G38" i="4"/>
  <c r="G37" i="4"/>
  <c r="G30" i="4"/>
  <c r="G29" i="4"/>
  <c r="G24" i="4"/>
  <c r="G23" i="4"/>
  <c r="G10" i="4"/>
  <c r="G105" i="4" s="1"/>
  <c r="G9" i="4"/>
  <c r="G104" i="4" s="1"/>
  <c r="G139" i="3"/>
  <c r="G137" i="3"/>
  <c r="G129" i="3"/>
  <c r="G128" i="3"/>
  <c r="G89" i="3"/>
  <c r="G88" i="3"/>
  <c r="G77" i="3"/>
  <c r="G76" i="3"/>
  <c r="G38" i="3"/>
  <c r="G37" i="3"/>
  <c r="G30" i="3"/>
  <c r="G29" i="3"/>
  <c r="G24" i="3"/>
  <c r="G105" i="3" s="1"/>
  <c r="G23" i="3"/>
  <c r="G104" i="3" s="1"/>
  <c r="G139" i="2"/>
  <c r="G137" i="2"/>
  <c r="G129" i="2"/>
  <c r="G128" i="2"/>
  <c r="G89" i="2"/>
  <c r="G88" i="2"/>
  <c r="G77" i="2"/>
  <c r="G76" i="2"/>
  <c r="G60" i="2"/>
  <c r="G59" i="2"/>
  <c r="G38" i="2"/>
  <c r="G37" i="2"/>
  <c r="G30" i="2"/>
  <c r="G29" i="2"/>
  <c r="G24" i="2"/>
  <c r="G23" i="2"/>
  <c r="G10" i="2"/>
  <c r="G105" i="2" s="1"/>
  <c r="G9" i="2"/>
  <c r="G104" i="2" s="1"/>
  <c r="G139" i="1"/>
  <c r="G137" i="1"/>
  <c r="G129" i="1"/>
  <c r="G128" i="1"/>
  <c r="G89" i="1"/>
  <c r="G88" i="1"/>
  <c r="G77" i="1"/>
  <c r="G76" i="1"/>
  <c r="G60" i="1"/>
  <c r="G59" i="1"/>
  <c r="G38" i="1"/>
  <c r="G37" i="1"/>
  <c r="G30" i="1"/>
  <c r="G29" i="1"/>
  <c r="G24" i="1"/>
  <c r="G105" i="1" s="1"/>
  <c r="G23" i="1"/>
  <c r="E129" i="12"/>
  <c r="E128" i="12"/>
  <c r="E89" i="12"/>
  <c r="E88" i="12"/>
  <c r="E77" i="12"/>
  <c r="E76" i="12"/>
  <c r="E60" i="12"/>
  <c r="E59" i="12"/>
  <c r="E38" i="12"/>
  <c r="E37" i="12"/>
  <c r="E30" i="12"/>
  <c r="E29" i="12"/>
  <c r="E24" i="12"/>
  <c r="E105" i="12" s="1"/>
  <c r="E142" i="12" s="1"/>
  <c r="E23" i="12"/>
  <c r="E104" i="12" s="1"/>
  <c r="E140" i="12" s="1"/>
  <c r="E10" i="12"/>
  <c r="E9" i="12"/>
  <c r="E129" i="11"/>
  <c r="E128" i="11"/>
  <c r="E89" i="11"/>
  <c r="E88" i="11"/>
  <c r="E77" i="11"/>
  <c r="E76" i="11"/>
  <c r="E60" i="11"/>
  <c r="E59" i="11"/>
  <c r="E38" i="11"/>
  <c r="E37" i="11"/>
  <c r="E30" i="11"/>
  <c r="E29" i="11"/>
  <c r="E24" i="11"/>
  <c r="E23" i="11"/>
  <c r="E104" i="11" s="1"/>
  <c r="E140" i="11" s="1"/>
  <c r="E10" i="11"/>
  <c r="E105" i="11" s="1"/>
  <c r="E142" i="11" s="1"/>
  <c r="E9" i="11"/>
  <c r="E129" i="10"/>
  <c r="E128" i="10"/>
  <c r="E89" i="10"/>
  <c r="E88" i="10"/>
  <c r="E77" i="10"/>
  <c r="E76" i="10"/>
  <c r="E60" i="10"/>
  <c r="E59" i="10"/>
  <c r="E38" i="10"/>
  <c r="E37" i="10"/>
  <c r="E30" i="10"/>
  <c r="E29" i="10"/>
  <c r="E24" i="10"/>
  <c r="E23" i="10"/>
  <c r="E10" i="10"/>
  <c r="E105" i="10" s="1"/>
  <c r="E9" i="10"/>
  <c r="E104" i="10" s="1"/>
  <c r="E129" i="9"/>
  <c r="E128" i="9"/>
  <c r="E89" i="9"/>
  <c r="E88" i="9"/>
  <c r="E77" i="9"/>
  <c r="E76" i="9"/>
  <c r="E60" i="9"/>
  <c r="E59" i="9"/>
  <c r="E38" i="9"/>
  <c r="E37" i="9"/>
  <c r="E30" i="9"/>
  <c r="E29" i="9"/>
  <c r="E24" i="9"/>
  <c r="E105" i="9" s="1"/>
  <c r="E142" i="9" s="1"/>
  <c r="E23" i="9"/>
  <c r="E104" i="9" s="1"/>
  <c r="E140" i="9" s="1"/>
  <c r="E10" i="9"/>
  <c r="E9" i="9"/>
  <c r="E129" i="8"/>
  <c r="E128" i="8"/>
  <c r="E89" i="8"/>
  <c r="E88" i="8"/>
  <c r="E77" i="8"/>
  <c r="E76" i="8"/>
  <c r="E60" i="8"/>
  <c r="E59" i="8"/>
  <c r="E30" i="8"/>
  <c r="E29" i="8"/>
  <c r="E24" i="8"/>
  <c r="E23" i="8"/>
  <c r="E10" i="8"/>
  <c r="E105" i="8" s="1"/>
  <c r="E9" i="8"/>
  <c r="E104" i="8" s="1"/>
  <c r="E129" i="7"/>
  <c r="E128" i="7"/>
  <c r="E89" i="7"/>
  <c r="E88" i="7"/>
  <c r="E77" i="7"/>
  <c r="E76" i="7"/>
  <c r="E60" i="7"/>
  <c r="E59" i="7"/>
  <c r="E38" i="7"/>
  <c r="E37" i="7"/>
  <c r="E30" i="7"/>
  <c r="E29" i="7"/>
  <c r="E24" i="7"/>
  <c r="E23" i="7"/>
  <c r="E10" i="7"/>
  <c r="E105" i="7" s="1"/>
  <c r="E9" i="7"/>
  <c r="E104" i="7" s="1"/>
  <c r="F6" i="6"/>
  <c r="E129" i="6"/>
  <c r="E128" i="6"/>
  <c r="E89" i="6"/>
  <c r="E88" i="6"/>
  <c r="E77" i="6"/>
  <c r="E76" i="6"/>
  <c r="E60" i="6"/>
  <c r="E59" i="6"/>
  <c r="E38" i="6"/>
  <c r="E37" i="6"/>
  <c r="E30" i="6"/>
  <c r="E29" i="6"/>
  <c r="E24" i="6"/>
  <c r="E23" i="6"/>
  <c r="E10" i="6"/>
  <c r="E105" i="6" s="1"/>
  <c r="E9" i="6"/>
  <c r="E104" i="6" s="1"/>
  <c r="E129" i="5"/>
  <c r="E128" i="5"/>
  <c r="E89" i="5"/>
  <c r="E88" i="5"/>
  <c r="E77" i="5"/>
  <c r="E76" i="5"/>
  <c r="E60" i="5"/>
  <c r="E59" i="5"/>
  <c r="E38" i="5"/>
  <c r="E37" i="5"/>
  <c r="E30" i="5"/>
  <c r="E29" i="5"/>
  <c r="E24" i="5"/>
  <c r="E23" i="5"/>
  <c r="E104" i="5" s="1"/>
  <c r="E140" i="5" s="1"/>
  <c r="E10" i="5"/>
  <c r="E105" i="5" s="1"/>
  <c r="E9" i="5"/>
  <c r="E129" i="4"/>
  <c r="E128" i="4"/>
  <c r="E89" i="4"/>
  <c r="E88" i="4"/>
  <c r="E77" i="4"/>
  <c r="E76" i="4"/>
  <c r="E60" i="4"/>
  <c r="E59" i="4"/>
  <c r="E38" i="4"/>
  <c r="E37" i="4"/>
  <c r="E30" i="4"/>
  <c r="E29" i="4"/>
  <c r="E24" i="4"/>
  <c r="E105" i="4" s="1"/>
  <c r="E142" i="4" s="1"/>
  <c r="E23" i="4"/>
  <c r="E104" i="4" s="1"/>
  <c r="E140" i="4" s="1"/>
  <c r="E10" i="4"/>
  <c r="E9" i="4"/>
  <c r="E139" i="3"/>
  <c r="E137" i="3"/>
  <c r="E129" i="3"/>
  <c r="E128" i="3"/>
  <c r="E89" i="3"/>
  <c r="E88" i="3"/>
  <c r="E77" i="3"/>
  <c r="E76" i="3"/>
  <c r="E60" i="3"/>
  <c r="E59" i="3"/>
  <c r="E38" i="3"/>
  <c r="E37" i="3"/>
  <c r="E30" i="3"/>
  <c r="E29" i="3"/>
  <c r="E24" i="3"/>
  <c r="E23" i="3"/>
  <c r="E10" i="3"/>
  <c r="E105" i="3" s="1"/>
  <c r="E9" i="3"/>
  <c r="E104" i="3" s="1"/>
  <c r="E139" i="2"/>
  <c r="E137" i="2"/>
  <c r="E129" i="2"/>
  <c r="E142" i="2" s="1"/>
  <c r="E128" i="2"/>
  <c r="E140" i="2" s="1"/>
  <c r="E89" i="2"/>
  <c r="E88" i="2"/>
  <c r="E77" i="2"/>
  <c r="E76" i="2"/>
  <c r="E60" i="2"/>
  <c r="E59" i="2"/>
  <c r="E38" i="2"/>
  <c r="E37" i="2"/>
  <c r="E30" i="2"/>
  <c r="E29" i="2"/>
  <c r="E24" i="2"/>
  <c r="E23" i="2"/>
  <c r="E10" i="2"/>
  <c r="E105" i="2" s="1"/>
  <c r="E9" i="2"/>
  <c r="E104" i="2" s="1"/>
  <c r="E139" i="1"/>
  <c r="E137" i="1"/>
  <c r="E129" i="1"/>
  <c r="E128" i="1"/>
  <c r="E89" i="1"/>
  <c r="E88" i="1"/>
  <c r="E77" i="1"/>
  <c r="E76" i="1"/>
  <c r="E60" i="1"/>
  <c r="E59" i="1"/>
  <c r="E38" i="1"/>
  <c r="E37" i="1"/>
  <c r="E30" i="1"/>
  <c r="E29" i="1"/>
  <c r="E24" i="1"/>
  <c r="E23" i="1"/>
  <c r="E10" i="1"/>
  <c r="E105" i="1" s="1"/>
  <c r="E9" i="1"/>
  <c r="E104" i="1" s="1"/>
  <c r="D129" i="12"/>
  <c r="D128" i="12"/>
  <c r="D89" i="12"/>
  <c r="D88" i="12"/>
  <c r="D77" i="12"/>
  <c r="D76" i="12"/>
  <c r="D60" i="12"/>
  <c r="D59" i="12"/>
  <c r="D38" i="12"/>
  <c r="D37" i="12"/>
  <c r="D30" i="12"/>
  <c r="D29" i="12"/>
  <c r="D24" i="12"/>
  <c r="D105" i="12" s="1"/>
  <c r="D142" i="12" s="1"/>
  <c r="D23" i="12"/>
  <c r="D104" i="12" s="1"/>
  <c r="D140" i="12" s="1"/>
  <c r="D129" i="11"/>
  <c r="D128" i="11"/>
  <c r="D89" i="11"/>
  <c r="D88" i="11"/>
  <c r="D77" i="11"/>
  <c r="D76" i="11"/>
  <c r="D60" i="11"/>
  <c r="D59" i="11"/>
  <c r="D38" i="11"/>
  <c r="D37" i="11"/>
  <c r="D30" i="11"/>
  <c r="D29" i="11"/>
  <c r="D24" i="11"/>
  <c r="D105" i="11" s="1"/>
  <c r="D142" i="11" s="1"/>
  <c r="D23" i="11"/>
  <c r="D104" i="11" s="1"/>
  <c r="D140" i="11" s="1"/>
  <c r="D129" i="10"/>
  <c r="D128" i="10"/>
  <c r="D89" i="10"/>
  <c r="D88" i="10"/>
  <c r="D77" i="10"/>
  <c r="D76" i="10"/>
  <c r="D60" i="10"/>
  <c r="D59" i="10"/>
  <c r="D30" i="10"/>
  <c r="D105" i="10" s="1"/>
  <c r="D142" i="10" s="1"/>
  <c r="D29" i="10"/>
  <c r="D104" i="10" s="1"/>
  <c r="D140" i="10" s="1"/>
  <c r="D24" i="10"/>
  <c r="D23" i="10"/>
  <c r="D129" i="9"/>
  <c r="D128" i="9"/>
  <c r="D89" i="9"/>
  <c r="D88" i="9"/>
  <c r="D77" i="9"/>
  <c r="D76" i="9"/>
  <c r="D60" i="9"/>
  <c r="D59" i="9"/>
  <c r="D38" i="9"/>
  <c r="D37" i="9"/>
  <c r="D30" i="9"/>
  <c r="D29" i="9"/>
  <c r="D24" i="9"/>
  <c r="D105" i="9" s="1"/>
  <c r="D142" i="9" s="1"/>
  <c r="D23" i="9"/>
  <c r="D104" i="9" s="1"/>
  <c r="D140" i="9" s="1"/>
  <c r="D129" i="8"/>
  <c r="D128" i="8"/>
  <c r="D89" i="8"/>
  <c r="D88" i="8"/>
  <c r="D77" i="8"/>
  <c r="D76" i="8"/>
  <c r="D60" i="8"/>
  <c r="D59" i="8"/>
  <c r="D30" i="8"/>
  <c r="D29" i="8"/>
  <c r="D104" i="8" s="1"/>
  <c r="D140" i="8" s="1"/>
  <c r="D24" i="8"/>
  <c r="D105" i="8" s="1"/>
  <c r="D142" i="8" s="1"/>
  <c r="D23" i="8"/>
  <c r="D129" i="7"/>
  <c r="D128" i="7"/>
  <c r="D89" i="7"/>
  <c r="D88" i="7"/>
  <c r="D77" i="7"/>
  <c r="D76" i="7"/>
  <c r="D60" i="7"/>
  <c r="D59" i="7"/>
  <c r="D38" i="7"/>
  <c r="D37" i="7"/>
  <c r="D30" i="7"/>
  <c r="D29" i="7"/>
  <c r="D24" i="7"/>
  <c r="D105" i="7" s="1"/>
  <c r="D142" i="7" s="1"/>
  <c r="D23" i="7"/>
  <c r="D10" i="7"/>
  <c r="D9" i="7"/>
  <c r="D104" i="7" s="1"/>
  <c r="D129" i="6"/>
  <c r="D128" i="6"/>
  <c r="D89" i="6"/>
  <c r="D88" i="6"/>
  <c r="D77" i="6"/>
  <c r="D76" i="6"/>
  <c r="D60" i="6"/>
  <c r="D59" i="6"/>
  <c r="D38" i="6"/>
  <c r="D37" i="6"/>
  <c r="D30" i="6"/>
  <c r="D29" i="6"/>
  <c r="D24" i="6"/>
  <c r="D105" i="6" s="1"/>
  <c r="D142" i="6" s="1"/>
  <c r="D23" i="6"/>
  <c r="D104" i="6" s="1"/>
  <c r="D140" i="6" s="1"/>
  <c r="D10" i="6"/>
  <c r="D9" i="6"/>
  <c r="D129" i="5"/>
  <c r="D128" i="5"/>
  <c r="D89" i="5"/>
  <c r="D88" i="5"/>
  <c r="D77" i="5"/>
  <c r="D76" i="5"/>
  <c r="D60" i="5"/>
  <c r="D59" i="5"/>
  <c r="D38" i="5"/>
  <c r="D37" i="5"/>
  <c r="D30" i="5"/>
  <c r="D29" i="5"/>
  <c r="D24" i="5"/>
  <c r="D105" i="5" s="1"/>
  <c r="D142" i="5" s="1"/>
  <c r="D23" i="5"/>
  <c r="D104" i="5" s="1"/>
  <c r="D140" i="5" s="1"/>
  <c r="D139" i="4"/>
  <c r="D137" i="4"/>
  <c r="D129" i="4"/>
  <c r="D128" i="4"/>
  <c r="D89" i="4"/>
  <c r="D88" i="4"/>
  <c r="D77" i="4"/>
  <c r="D76" i="4"/>
  <c r="D60" i="4"/>
  <c r="D59" i="4"/>
  <c r="D38" i="4"/>
  <c r="D37" i="4"/>
  <c r="D30" i="4"/>
  <c r="D29" i="4"/>
  <c r="D24" i="4"/>
  <c r="D23" i="4"/>
  <c r="D10" i="4"/>
  <c r="D105" i="4" s="1"/>
  <c r="D9" i="4"/>
  <c r="D104" i="4" s="1"/>
  <c r="D139" i="3"/>
  <c r="D137" i="3"/>
  <c r="D129" i="3"/>
  <c r="D128" i="3"/>
  <c r="D89" i="3"/>
  <c r="D88" i="3"/>
  <c r="D77" i="3"/>
  <c r="D76" i="3"/>
  <c r="D60" i="3"/>
  <c r="D59" i="3"/>
  <c r="D38" i="3"/>
  <c r="D37" i="3"/>
  <c r="D30" i="3"/>
  <c r="D29" i="3"/>
  <c r="D24" i="3"/>
  <c r="D105" i="3" s="1"/>
  <c r="D23" i="3"/>
  <c r="D104" i="3" s="1"/>
  <c r="D139" i="2"/>
  <c r="D137" i="2"/>
  <c r="D129" i="2"/>
  <c r="D128" i="2"/>
  <c r="D89" i="2"/>
  <c r="D88" i="2"/>
  <c r="D77" i="2"/>
  <c r="D76" i="2"/>
  <c r="D60" i="2"/>
  <c r="D59" i="2"/>
  <c r="D38" i="2"/>
  <c r="D37" i="2"/>
  <c r="D30" i="2"/>
  <c r="D29" i="2"/>
  <c r="D24" i="2"/>
  <c r="D105" i="2" s="1"/>
  <c r="D23" i="2"/>
  <c r="D104" i="2" s="1"/>
  <c r="D139" i="1"/>
  <c r="D137" i="1"/>
  <c r="D129" i="1"/>
  <c r="D128" i="1"/>
  <c r="D89" i="1"/>
  <c r="D88" i="1"/>
  <c r="D77" i="1"/>
  <c r="D76" i="1"/>
  <c r="D60" i="1"/>
  <c r="D59" i="1"/>
  <c r="D38" i="1"/>
  <c r="D37" i="1"/>
  <c r="D30" i="1"/>
  <c r="D29" i="1"/>
  <c r="D24" i="1"/>
  <c r="D105" i="1" s="1"/>
  <c r="D23" i="1"/>
  <c r="D104" i="1" s="1"/>
  <c r="D10" i="1"/>
  <c r="D9" i="1"/>
  <c r="E140" i="1" l="1"/>
  <c r="H105" i="1"/>
  <c r="L105" i="1"/>
  <c r="D140" i="1"/>
  <c r="D142" i="1"/>
  <c r="M105" i="1"/>
  <c r="M142" i="1" s="1"/>
  <c r="P38" i="1"/>
  <c r="P105" i="1" s="1"/>
  <c r="P129" i="1"/>
  <c r="P142" i="1" s="1"/>
  <c r="E142" i="1"/>
  <c r="G104" i="1"/>
  <c r="K104" i="1"/>
  <c r="L140" i="1"/>
  <c r="M140" i="1"/>
  <c r="N104" i="1"/>
  <c r="N140" i="1" s="1"/>
  <c r="P105" i="11"/>
  <c r="P142" i="11" s="1"/>
  <c r="P105" i="10"/>
  <c r="P142" i="10"/>
  <c r="P105" i="9"/>
  <c r="P142" i="9" s="1"/>
  <c r="P142" i="7"/>
  <c r="P140" i="7"/>
  <c r="P142" i="6"/>
  <c r="P142" i="5"/>
  <c r="P140" i="5"/>
  <c r="P105" i="3"/>
  <c r="P142" i="3"/>
  <c r="P142" i="2"/>
  <c r="P140" i="1"/>
  <c r="O140" i="9"/>
  <c r="O142" i="9"/>
  <c r="O140" i="6"/>
  <c r="N140" i="12"/>
  <c r="N140" i="11"/>
  <c r="N142" i="11"/>
  <c r="N140" i="10"/>
  <c r="N142" i="10"/>
  <c r="N140" i="3"/>
  <c r="N142" i="3"/>
  <c r="M142" i="12"/>
  <c r="M142" i="11"/>
  <c r="M140" i="9"/>
  <c r="M105" i="7"/>
  <c r="M142" i="7" s="1"/>
  <c r="M142" i="6"/>
  <c r="M142" i="4"/>
  <c r="M142" i="3"/>
  <c r="M140" i="2"/>
  <c r="L140" i="10"/>
  <c r="L142" i="10"/>
  <c r="L140" i="8"/>
  <c r="L142" i="8"/>
  <c r="L140" i="5"/>
  <c r="L142" i="5"/>
  <c r="L140" i="4"/>
  <c r="L142" i="4"/>
  <c r="L140" i="3"/>
  <c r="L142" i="3"/>
  <c r="L140" i="2"/>
  <c r="L142" i="2"/>
  <c r="L142" i="1"/>
  <c r="K140" i="11"/>
  <c r="K142" i="11"/>
  <c r="K140" i="6"/>
  <c r="K142" i="6"/>
  <c r="K140" i="2"/>
  <c r="K142" i="2"/>
  <c r="K140" i="1"/>
  <c r="K142" i="1"/>
  <c r="H140" i="12"/>
  <c r="H142" i="12"/>
  <c r="H140" i="11"/>
  <c r="H142" i="11"/>
  <c r="H140" i="10"/>
  <c r="H142" i="10"/>
  <c r="H140" i="9"/>
  <c r="H142" i="9"/>
  <c r="H140" i="8"/>
  <c r="H142" i="8"/>
  <c r="H140" i="7"/>
  <c r="H142" i="7"/>
  <c r="H140" i="5"/>
  <c r="H142" i="5"/>
  <c r="H140" i="4"/>
  <c r="H142" i="4"/>
  <c r="H140" i="3"/>
  <c r="H142" i="3"/>
  <c r="H140" i="2"/>
  <c r="H142" i="2"/>
  <c r="H140" i="1"/>
  <c r="H142" i="1"/>
  <c r="G140" i="11"/>
  <c r="G142" i="11"/>
  <c r="G140" i="9"/>
  <c r="G142" i="9"/>
  <c r="G140" i="5"/>
  <c r="G142" i="5"/>
  <c r="G140" i="4"/>
  <c r="G140" i="3"/>
  <c r="G142" i="3"/>
  <c r="G140" i="2"/>
  <c r="G142" i="2"/>
  <c r="G140" i="1"/>
  <c r="G142" i="1"/>
  <c r="E140" i="10"/>
  <c r="E142" i="10"/>
  <c r="E140" i="8"/>
  <c r="E142" i="8"/>
  <c r="E140" i="7"/>
  <c r="E142" i="7"/>
  <c r="E140" i="6"/>
  <c r="E142" i="6"/>
  <c r="E142" i="5"/>
  <c r="E140" i="3"/>
  <c r="E142" i="3"/>
  <c r="D140" i="7"/>
  <c r="D140" i="4"/>
  <c r="D142" i="4"/>
  <c r="D140" i="3"/>
  <c r="D142" i="3"/>
  <c r="D140" i="2"/>
  <c r="D142" i="2"/>
  <c r="P99" i="13" l="1"/>
  <c r="O99" i="13"/>
  <c r="N99" i="13"/>
  <c r="M99" i="13"/>
  <c r="L99" i="13"/>
  <c r="K99" i="13"/>
  <c r="I99" i="13"/>
  <c r="H99" i="13"/>
  <c r="G99" i="13"/>
  <c r="E99" i="13"/>
  <c r="P98" i="13"/>
  <c r="O98" i="13"/>
  <c r="N98" i="13"/>
  <c r="M98" i="13"/>
  <c r="L98" i="13"/>
  <c r="K98" i="13"/>
  <c r="I98" i="13"/>
  <c r="H98" i="13"/>
  <c r="G98" i="13"/>
  <c r="E98" i="13"/>
  <c r="D98" i="13"/>
  <c r="P46" i="13"/>
  <c r="O46" i="13"/>
  <c r="N46" i="13"/>
  <c r="M46" i="13"/>
  <c r="L46" i="13"/>
  <c r="K46" i="13"/>
  <c r="I46" i="13"/>
  <c r="H46" i="13"/>
  <c r="G46" i="13"/>
  <c r="E46" i="13"/>
  <c r="P45" i="13"/>
  <c r="O45" i="13"/>
  <c r="N45" i="13"/>
  <c r="M45" i="13"/>
  <c r="L45" i="13"/>
  <c r="K45" i="13"/>
  <c r="I45" i="13"/>
  <c r="H45" i="13"/>
  <c r="G45" i="13"/>
  <c r="E45" i="13"/>
  <c r="D45" i="13"/>
  <c r="D134" i="13"/>
  <c r="E134" i="13"/>
  <c r="G134" i="13"/>
  <c r="H134" i="13"/>
  <c r="I134" i="13"/>
  <c r="K134" i="13"/>
  <c r="L134" i="13"/>
  <c r="M134" i="13"/>
  <c r="N134" i="13"/>
  <c r="O134" i="13"/>
  <c r="P134" i="13"/>
  <c r="P117" i="13"/>
  <c r="O117" i="13"/>
  <c r="N117" i="13"/>
  <c r="M117" i="13"/>
  <c r="L117" i="13"/>
  <c r="K117" i="13"/>
  <c r="I117" i="13"/>
  <c r="H117" i="13"/>
  <c r="G117" i="13"/>
  <c r="E117" i="13"/>
  <c r="P116" i="13"/>
  <c r="O116" i="13"/>
  <c r="N116" i="13"/>
  <c r="M116" i="13"/>
  <c r="L116" i="13"/>
  <c r="K116" i="13"/>
  <c r="I116" i="13"/>
  <c r="H116" i="13"/>
  <c r="G116" i="13"/>
  <c r="E116" i="13"/>
  <c r="D116" i="13"/>
  <c r="P107" i="13"/>
  <c r="O107" i="13"/>
  <c r="N107" i="13"/>
  <c r="M107" i="13"/>
  <c r="L107" i="13"/>
  <c r="K107" i="13"/>
  <c r="I107" i="13"/>
  <c r="H107" i="13"/>
  <c r="G107" i="13"/>
  <c r="E107" i="13"/>
  <c r="P106" i="13"/>
  <c r="O106" i="13"/>
  <c r="N106" i="13"/>
  <c r="M106" i="13"/>
  <c r="L106" i="13"/>
  <c r="K106" i="13"/>
  <c r="I106" i="13"/>
  <c r="H106" i="13"/>
  <c r="G106" i="13"/>
  <c r="E106" i="13"/>
  <c r="D106" i="13"/>
  <c r="P101" i="13"/>
  <c r="O101" i="13"/>
  <c r="N101" i="13"/>
  <c r="M101" i="13"/>
  <c r="L101" i="13"/>
  <c r="K101" i="13"/>
  <c r="I101" i="13"/>
  <c r="H101" i="13"/>
  <c r="G101" i="13"/>
  <c r="E101" i="13"/>
  <c r="P100" i="13"/>
  <c r="O100" i="13"/>
  <c r="N100" i="13"/>
  <c r="M100" i="13"/>
  <c r="L100" i="13"/>
  <c r="K100" i="13"/>
  <c r="I100" i="13"/>
  <c r="H100" i="13"/>
  <c r="G100" i="13"/>
  <c r="E100" i="13"/>
  <c r="D100" i="13"/>
  <c r="P93" i="13"/>
  <c r="O93" i="13"/>
  <c r="N93" i="13"/>
  <c r="M93" i="13"/>
  <c r="L93" i="13"/>
  <c r="K93" i="13"/>
  <c r="I93" i="13"/>
  <c r="H93" i="13"/>
  <c r="G93" i="13"/>
  <c r="E93" i="13"/>
  <c r="P92" i="13"/>
  <c r="O92" i="13"/>
  <c r="N92" i="13"/>
  <c r="M92" i="13"/>
  <c r="L92" i="13"/>
  <c r="K92" i="13"/>
  <c r="I92" i="13"/>
  <c r="H92" i="13"/>
  <c r="G92" i="13"/>
  <c r="E92" i="13"/>
  <c r="D92" i="13"/>
  <c r="P85" i="13"/>
  <c r="O85" i="13"/>
  <c r="N85" i="13"/>
  <c r="M85" i="13"/>
  <c r="L85" i="13"/>
  <c r="K85" i="13"/>
  <c r="I85" i="13"/>
  <c r="H85" i="13"/>
  <c r="G85" i="13"/>
  <c r="E85" i="13"/>
  <c r="P84" i="13"/>
  <c r="O84" i="13"/>
  <c r="N84" i="13"/>
  <c r="M84" i="13"/>
  <c r="L84" i="13"/>
  <c r="K84" i="13"/>
  <c r="I84" i="13"/>
  <c r="H84" i="13"/>
  <c r="G84" i="13"/>
  <c r="E84" i="13"/>
  <c r="D84" i="13"/>
  <c r="P83" i="13"/>
  <c r="O83" i="13"/>
  <c r="N83" i="13"/>
  <c r="M83" i="13"/>
  <c r="L83" i="13"/>
  <c r="K83" i="13"/>
  <c r="I83" i="13"/>
  <c r="H83" i="13"/>
  <c r="G83" i="13"/>
  <c r="E83" i="13"/>
  <c r="P82" i="13"/>
  <c r="O82" i="13"/>
  <c r="N82" i="13"/>
  <c r="M82" i="13"/>
  <c r="L82" i="13"/>
  <c r="K82" i="13"/>
  <c r="I82" i="13"/>
  <c r="H82" i="13"/>
  <c r="G82" i="13"/>
  <c r="E82" i="13"/>
  <c r="D82" i="13"/>
  <c r="P81" i="13"/>
  <c r="O81" i="13"/>
  <c r="N81" i="13"/>
  <c r="M81" i="13"/>
  <c r="L81" i="13"/>
  <c r="K81" i="13"/>
  <c r="I81" i="13"/>
  <c r="H81" i="13"/>
  <c r="G81" i="13"/>
  <c r="E81" i="13"/>
  <c r="P80" i="13"/>
  <c r="O80" i="13"/>
  <c r="N80" i="13"/>
  <c r="M80" i="13"/>
  <c r="L80" i="13"/>
  <c r="K80" i="13"/>
  <c r="I80" i="13"/>
  <c r="H80" i="13"/>
  <c r="G80" i="13"/>
  <c r="E80" i="13"/>
  <c r="D80" i="13"/>
  <c r="P44" i="13"/>
  <c r="O44" i="13"/>
  <c r="N44" i="13"/>
  <c r="M44" i="13"/>
  <c r="L44" i="13"/>
  <c r="K44" i="13"/>
  <c r="I44" i="13"/>
  <c r="H44" i="13"/>
  <c r="G44" i="13"/>
  <c r="E44" i="13"/>
  <c r="P43" i="13"/>
  <c r="O43" i="13"/>
  <c r="N43" i="13"/>
  <c r="M43" i="13"/>
  <c r="L43" i="13"/>
  <c r="K43" i="13"/>
  <c r="I43" i="13"/>
  <c r="H43" i="13"/>
  <c r="G43" i="13"/>
  <c r="E43" i="13"/>
  <c r="D43" i="13"/>
  <c r="P36" i="13"/>
  <c r="O36" i="13"/>
  <c r="N36" i="13"/>
  <c r="M36" i="13"/>
  <c r="L36" i="13"/>
  <c r="K36" i="13"/>
  <c r="I36" i="13"/>
  <c r="H36" i="13"/>
  <c r="G36" i="13"/>
  <c r="E36" i="13"/>
  <c r="P35" i="13"/>
  <c r="O35" i="13"/>
  <c r="N35" i="13"/>
  <c r="M35" i="13"/>
  <c r="L35" i="13"/>
  <c r="K35" i="13"/>
  <c r="I35" i="13"/>
  <c r="H35" i="13"/>
  <c r="G35" i="13"/>
  <c r="E35" i="13"/>
  <c r="D35" i="13"/>
  <c r="L130" i="13"/>
  <c r="M130" i="13"/>
  <c r="N130" i="13"/>
  <c r="L131" i="13"/>
  <c r="M131" i="13"/>
  <c r="N131" i="13"/>
  <c r="Q141" i="13"/>
  <c r="Q138" i="13"/>
  <c r="Q135" i="13"/>
  <c r="J29" i="1"/>
  <c r="J5" i="1"/>
  <c r="J141" i="1"/>
  <c r="J139" i="1"/>
  <c r="J138" i="1"/>
  <c r="J136" i="1"/>
  <c r="J135" i="1"/>
  <c r="J134" i="1"/>
  <c r="J133" i="1"/>
  <c r="J132" i="1"/>
  <c r="J131" i="1"/>
  <c r="J130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7" i="1"/>
  <c r="J86" i="1"/>
  <c r="J85" i="1"/>
  <c r="J84" i="1"/>
  <c r="J83" i="1"/>
  <c r="J82" i="1"/>
  <c r="J81" i="1"/>
  <c r="J80" i="1"/>
  <c r="J79" i="1"/>
  <c r="J78" i="1"/>
  <c r="J68" i="1"/>
  <c r="J67" i="1"/>
  <c r="J66" i="1"/>
  <c r="J65" i="1"/>
  <c r="J64" i="1"/>
  <c r="J63" i="1"/>
  <c r="J62" i="1"/>
  <c r="J61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6" i="1"/>
  <c r="J35" i="1"/>
  <c r="J34" i="1"/>
  <c r="J33" i="1"/>
  <c r="J32" i="1"/>
  <c r="J31" i="1"/>
  <c r="J30" i="1"/>
  <c r="J28" i="1"/>
  <c r="J27" i="1"/>
  <c r="J26" i="1"/>
  <c r="J25" i="1"/>
  <c r="J22" i="1"/>
  <c r="J21" i="1"/>
  <c r="J20" i="1"/>
  <c r="J19" i="1"/>
  <c r="J18" i="1"/>
  <c r="J17" i="1"/>
  <c r="J16" i="1"/>
  <c r="J15" i="1"/>
  <c r="J14" i="1"/>
  <c r="J13" i="1"/>
  <c r="J12" i="1"/>
  <c r="J11" i="1"/>
  <c r="J8" i="1"/>
  <c r="J7" i="1"/>
  <c r="J6" i="1"/>
  <c r="J141" i="3"/>
  <c r="J138" i="3"/>
  <c r="J136" i="3"/>
  <c r="J135" i="3"/>
  <c r="J134" i="3"/>
  <c r="J133" i="3"/>
  <c r="J132" i="3"/>
  <c r="J131" i="3"/>
  <c r="J130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7" i="3"/>
  <c r="J86" i="3"/>
  <c r="J85" i="3"/>
  <c r="J84" i="3"/>
  <c r="J83" i="3"/>
  <c r="J82" i="3"/>
  <c r="J81" i="3"/>
  <c r="J80" i="3"/>
  <c r="J79" i="3"/>
  <c r="J78" i="3"/>
  <c r="J68" i="3"/>
  <c r="J67" i="3"/>
  <c r="J66" i="3"/>
  <c r="J65" i="3"/>
  <c r="J64" i="3"/>
  <c r="J63" i="3"/>
  <c r="J62" i="3"/>
  <c r="J61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141" i="4"/>
  <c r="J138" i="4"/>
  <c r="J136" i="4"/>
  <c r="J135" i="4"/>
  <c r="J134" i="4"/>
  <c r="J133" i="4"/>
  <c r="J132" i="4"/>
  <c r="J131" i="4"/>
  <c r="J130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7" i="4"/>
  <c r="J86" i="4"/>
  <c r="J85" i="4"/>
  <c r="J84" i="4"/>
  <c r="J83" i="4"/>
  <c r="J82" i="4"/>
  <c r="J81" i="4"/>
  <c r="J80" i="4"/>
  <c r="J79" i="4"/>
  <c r="J78" i="4"/>
  <c r="J68" i="4"/>
  <c r="J67" i="4"/>
  <c r="J66" i="4"/>
  <c r="J65" i="4"/>
  <c r="J64" i="4"/>
  <c r="J63" i="4"/>
  <c r="J62" i="4"/>
  <c r="J61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8" i="4"/>
  <c r="J7" i="4"/>
  <c r="J6" i="4"/>
  <c r="J5" i="4"/>
  <c r="J141" i="5"/>
  <c r="J138" i="5"/>
  <c r="J136" i="5"/>
  <c r="J135" i="5"/>
  <c r="J134" i="5"/>
  <c r="J133" i="5"/>
  <c r="J132" i="5"/>
  <c r="J131" i="5"/>
  <c r="J130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7" i="5"/>
  <c r="J86" i="5"/>
  <c r="J85" i="5"/>
  <c r="J84" i="5"/>
  <c r="J83" i="5"/>
  <c r="J82" i="5"/>
  <c r="J81" i="5"/>
  <c r="J80" i="5"/>
  <c r="J79" i="5"/>
  <c r="J78" i="5"/>
  <c r="J68" i="5"/>
  <c r="J67" i="5"/>
  <c r="J66" i="5"/>
  <c r="J65" i="5"/>
  <c r="J64" i="5"/>
  <c r="J63" i="5"/>
  <c r="J62" i="5"/>
  <c r="J61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6" i="5"/>
  <c r="J35" i="5"/>
  <c r="J34" i="5"/>
  <c r="J33" i="5"/>
  <c r="J32" i="5"/>
  <c r="J31" i="5"/>
  <c r="J28" i="5"/>
  <c r="J27" i="5"/>
  <c r="J26" i="5"/>
  <c r="J25" i="5"/>
  <c r="J22" i="5"/>
  <c r="J21" i="5"/>
  <c r="J20" i="5"/>
  <c r="J19" i="5"/>
  <c r="J18" i="5"/>
  <c r="J17" i="5"/>
  <c r="J16" i="5"/>
  <c r="J15" i="5"/>
  <c r="J14" i="5"/>
  <c r="J13" i="5"/>
  <c r="J12" i="5"/>
  <c r="J11" i="5"/>
  <c r="J8" i="5"/>
  <c r="J7" i="5"/>
  <c r="J6" i="5"/>
  <c r="J5" i="5"/>
  <c r="J141" i="6"/>
  <c r="J138" i="6"/>
  <c r="J136" i="6"/>
  <c r="J135" i="6"/>
  <c r="J134" i="6"/>
  <c r="J133" i="6"/>
  <c r="J132" i="6"/>
  <c r="J131" i="6"/>
  <c r="J130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7" i="6"/>
  <c r="J86" i="6"/>
  <c r="J85" i="6"/>
  <c r="J84" i="6"/>
  <c r="J83" i="6"/>
  <c r="J82" i="6"/>
  <c r="J81" i="6"/>
  <c r="J80" i="6"/>
  <c r="J79" i="6"/>
  <c r="J78" i="6"/>
  <c r="J68" i="6"/>
  <c r="J67" i="6"/>
  <c r="J66" i="6"/>
  <c r="J65" i="6"/>
  <c r="J64" i="6"/>
  <c r="J63" i="6"/>
  <c r="J62" i="6"/>
  <c r="J61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6" i="6"/>
  <c r="J35" i="6"/>
  <c r="J34" i="6"/>
  <c r="J33" i="6"/>
  <c r="J32" i="6"/>
  <c r="J31" i="6"/>
  <c r="J30" i="6"/>
  <c r="J29" i="6"/>
  <c r="J28" i="6"/>
  <c r="J27" i="6"/>
  <c r="J26" i="6"/>
  <c r="J25" i="6"/>
  <c r="J22" i="6"/>
  <c r="J21" i="6"/>
  <c r="J20" i="6"/>
  <c r="J19" i="6"/>
  <c r="J18" i="6"/>
  <c r="J17" i="6"/>
  <c r="J16" i="6"/>
  <c r="J15" i="6"/>
  <c r="J14" i="6"/>
  <c r="J13" i="6"/>
  <c r="J12" i="6"/>
  <c r="J11" i="6"/>
  <c r="J8" i="6"/>
  <c r="J7" i="6"/>
  <c r="J6" i="6"/>
  <c r="J5" i="6"/>
  <c r="J141" i="7"/>
  <c r="J138" i="7"/>
  <c r="J136" i="7"/>
  <c r="J135" i="7"/>
  <c r="J134" i="7"/>
  <c r="J133" i="7"/>
  <c r="J132" i="7"/>
  <c r="J131" i="7"/>
  <c r="J130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7" i="7"/>
  <c r="J86" i="7"/>
  <c r="J85" i="7"/>
  <c r="J84" i="7"/>
  <c r="J83" i="7"/>
  <c r="J82" i="7"/>
  <c r="J81" i="7"/>
  <c r="J80" i="7"/>
  <c r="J79" i="7"/>
  <c r="J78" i="7"/>
  <c r="J68" i="7"/>
  <c r="J67" i="7"/>
  <c r="J66" i="7"/>
  <c r="J65" i="7"/>
  <c r="J64" i="7"/>
  <c r="J63" i="7"/>
  <c r="J62" i="7"/>
  <c r="J61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6" i="7"/>
  <c r="J35" i="7"/>
  <c r="J34" i="7"/>
  <c r="J33" i="7"/>
  <c r="J32" i="7"/>
  <c r="J31" i="7"/>
  <c r="J28" i="7"/>
  <c r="J27" i="7"/>
  <c r="J26" i="7"/>
  <c r="J25" i="7"/>
  <c r="J22" i="7"/>
  <c r="J21" i="7"/>
  <c r="J20" i="7"/>
  <c r="J19" i="7"/>
  <c r="J18" i="7"/>
  <c r="J17" i="7"/>
  <c r="J16" i="7"/>
  <c r="J15" i="7"/>
  <c r="J14" i="7"/>
  <c r="J13" i="7"/>
  <c r="J12" i="7"/>
  <c r="J11" i="7"/>
  <c r="J8" i="7"/>
  <c r="J7" i="7"/>
  <c r="J6" i="7"/>
  <c r="J5" i="7"/>
  <c r="J141" i="8"/>
  <c r="J138" i="8"/>
  <c r="J136" i="8"/>
  <c r="J135" i="8"/>
  <c r="J134" i="8"/>
  <c r="J133" i="8"/>
  <c r="J132" i="8"/>
  <c r="J131" i="8"/>
  <c r="J130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7" i="8"/>
  <c r="J86" i="8"/>
  <c r="J85" i="8"/>
  <c r="J84" i="8"/>
  <c r="J83" i="8"/>
  <c r="J82" i="8"/>
  <c r="J81" i="8"/>
  <c r="J80" i="8"/>
  <c r="J79" i="8"/>
  <c r="J78" i="8"/>
  <c r="J68" i="8"/>
  <c r="J67" i="8"/>
  <c r="J66" i="8"/>
  <c r="J65" i="8"/>
  <c r="J64" i="8"/>
  <c r="J63" i="8"/>
  <c r="J62" i="8"/>
  <c r="J61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6" i="8"/>
  <c r="J35" i="8"/>
  <c r="J34" i="8"/>
  <c r="J33" i="8"/>
  <c r="J32" i="8"/>
  <c r="J31" i="8"/>
  <c r="J28" i="8"/>
  <c r="J27" i="8"/>
  <c r="J26" i="8"/>
  <c r="J25" i="8"/>
  <c r="J22" i="8"/>
  <c r="J21" i="8"/>
  <c r="J20" i="8"/>
  <c r="J19" i="8"/>
  <c r="J18" i="8"/>
  <c r="J17" i="8"/>
  <c r="J16" i="8"/>
  <c r="J15" i="8"/>
  <c r="J14" i="8"/>
  <c r="J13" i="8"/>
  <c r="J12" i="8"/>
  <c r="J11" i="8"/>
  <c r="J8" i="8"/>
  <c r="J7" i="8"/>
  <c r="J6" i="8"/>
  <c r="J5" i="8"/>
  <c r="J141" i="9"/>
  <c r="J139" i="9"/>
  <c r="J138" i="9"/>
  <c r="J136" i="9"/>
  <c r="J135" i="9"/>
  <c r="J134" i="9"/>
  <c r="J133" i="9"/>
  <c r="J132" i="9"/>
  <c r="J131" i="9"/>
  <c r="J130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7" i="9"/>
  <c r="J86" i="9"/>
  <c r="J85" i="9"/>
  <c r="J84" i="9"/>
  <c r="J83" i="9"/>
  <c r="J82" i="9"/>
  <c r="J81" i="9"/>
  <c r="J80" i="9"/>
  <c r="J79" i="9"/>
  <c r="J78" i="9"/>
  <c r="J68" i="9"/>
  <c r="J67" i="9"/>
  <c r="J66" i="9"/>
  <c r="J65" i="9"/>
  <c r="J64" i="9"/>
  <c r="J63" i="9"/>
  <c r="J62" i="9"/>
  <c r="J61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6" i="9"/>
  <c r="J35" i="9"/>
  <c r="J34" i="9"/>
  <c r="J33" i="9"/>
  <c r="J32" i="9"/>
  <c r="J31" i="9"/>
  <c r="J28" i="9"/>
  <c r="J27" i="9"/>
  <c r="J26" i="9"/>
  <c r="J25" i="9"/>
  <c r="J24" i="9"/>
  <c r="J22" i="9"/>
  <c r="J21" i="9"/>
  <c r="J20" i="9"/>
  <c r="J19" i="9"/>
  <c r="J18" i="9"/>
  <c r="J17" i="9"/>
  <c r="J16" i="9"/>
  <c r="J15" i="9"/>
  <c r="J14" i="9"/>
  <c r="J13" i="9"/>
  <c r="J12" i="9"/>
  <c r="J11" i="9"/>
  <c r="J8" i="9"/>
  <c r="J7" i="9"/>
  <c r="J6" i="9"/>
  <c r="J5" i="9"/>
  <c r="J141" i="10"/>
  <c r="J138" i="10"/>
  <c r="J136" i="10"/>
  <c r="J135" i="10"/>
  <c r="J134" i="10"/>
  <c r="J133" i="10"/>
  <c r="J132" i="10"/>
  <c r="J131" i="10"/>
  <c r="J130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7" i="10"/>
  <c r="J86" i="10"/>
  <c r="J85" i="10"/>
  <c r="J84" i="10"/>
  <c r="J83" i="10"/>
  <c r="J82" i="10"/>
  <c r="J81" i="10"/>
  <c r="J80" i="10"/>
  <c r="J79" i="10"/>
  <c r="J78" i="10"/>
  <c r="J68" i="10"/>
  <c r="J67" i="10"/>
  <c r="J66" i="10"/>
  <c r="J65" i="10"/>
  <c r="J64" i="10"/>
  <c r="J63" i="10"/>
  <c r="J62" i="10"/>
  <c r="J61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8" i="10"/>
  <c r="J7" i="10"/>
  <c r="J6" i="10"/>
  <c r="J5" i="10"/>
  <c r="J141" i="11"/>
  <c r="J138" i="11"/>
  <c r="J136" i="11"/>
  <c r="J135" i="11"/>
  <c r="J134" i="11"/>
  <c r="J133" i="11"/>
  <c r="J132" i="11"/>
  <c r="J131" i="11"/>
  <c r="J130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7" i="11"/>
  <c r="J86" i="11"/>
  <c r="J85" i="11"/>
  <c r="J84" i="11"/>
  <c r="J83" i="11"/>
  <c r="J82" i="11"/>
  <c r="J81" i="11"/>
  <c r="J80" i="11"/>
  <c r="J79" i="11"/>
  <c r="J78" i="11"/>
  <c r="J68" i="11"/>
  <c r="J67" i="11"/>
  <c r="J66" i="11"/>
  <c r="J65" i="11"/>
  <c r="J64" i="11"/>
  <c r="J63" i="11"/>
  <c r="J62" i="11"/>
  <c r="J61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6" i="11"/>
  <c r="J35" i="11"/>
  <c r="J34" i="11"/>
  <c r="J33" i="11"/>
  <c r="J32" i="11"/>
  <c r="J31" i="11"/>
  <c r="J28" i="11"/>
  <c r="J27" i="11"/>
  <c r="J26" i="11"/>
  <c r="J25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8" i="11"/>
  <c r="J7" i="11"/>
  <c r="J6" i="11"/>
  <c r="J5" i="11"/>
  <c r="J141" i="12"/>
  <c r="J138" i="12"/>
  <c r="J136" i="12"/>
  <c r="J135" i="12"/>
  <c r="J134" i="12"/>
  <c r="J133" i="12"/>
  <c r="J132" i="12"/>
  <c r="J131" i="12"/>
  <c r="J130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7" i="12"/>
  <c r="J86" i="12"/>
  <c r="J85" i="12"/>
  <c r="J84" i="12"/>
  <c r="J83" i="12"/>
  <c r="J82" i="12"/>
  <c r="J81" i="12"/>
  <c r="J80" i="12"/>
  <c r="J79" i="12"/>
  <c r="J78" i="12"/>
  <c r="J68" i="12"/>
  <c r="J67" i="12"/>
  <c r="J66" i="12"/>
  <c r="J65" i="12"/>
  <c r="J64" i="12"/>
  <c r="J63" i="12"/>
  <c r="J62" i="12"/>
  <c r="J61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8" i="12"/>
  <c r="J7" i="12"/>
  <c r="J6" i="12"/>
  <c r="J5" i="12"/>
  <c r="J141" i="2"/>
  <c r="J138" i="2"/>
  <c r="J136" i="2"/>
  <c r="J135" i="2"/>
  <c r="J134" i="2"/>
  <c r="J133" i="2"/>
  <c r="J132" i="2"/>
  <c r="J131" i="2"/>
  <c r="J130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7" i="2"/>
  <c r="J86" i="2"/>
  <c r="J85" i="2"/>
  <c r="J84" i="2"/>
  <c r="J83" i="2"/>
  <c r="J82" i="2"/>
  <c r="J81" i="2"/>
  <c r="J80" i="2"/>
  <c r="J79" i="2"/>
  <c r="J78" i="2"/>
  <c r="J68" i="2"/>
  <c r="J67" i="2"/>
  <c r="J66" i="2"/>
  <c r="J65" i="2"/>
  <c r="J64" i="2"/>
  <c r="J63" i="2"/>
  <c r="J62" i="2"/>
  <c r="J61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8" i="2"/>
  <c r="J7" i="2"/>
  <c r="J6" i="2"/>
  <c r="J5" i="2"/>
  <c r="F141" i="12"/>
  <c r="Q141" i="12" s="1"/>
  <c r="F138" i="12"/>
  <c r="Q138" i="12" s="1"/>
  <c r="F136" i="12"/>
  <c r="F135" i="12"/>
  <c r="Q135" i="12" s="1"/>
  <c r="F134" i="12"/>
  <c r="Q134" i="12" s="1"/>
  <c r="F133" i="12"/>
  <c r="Q133" i="12" s="1"/>
  <c r="F132" i="12"/>
  <c r="F131" i="12"/>
  <c r="Q131" i="12" s="1"/>
  <c r="F130" i="12"/>
  <c r="Q130" i="12" s="1"/>
  <c r="F127" i="12"/>
  <c r="Q127" i="12" s="1"/>
  <c r="F126" i="12"/>
  <c r="F125" i="12"/>
  <c r="Q125" i="12" s="1"/>
  <c r="F124" i="12"/>
  <c r="Q124" i="12" s="1"/>
  <c r="F123" i="12"/>
  <c r="Q123" i="12" s="1"/>
  <c r="F122" i="12"/>
  <c r="F121" i="12"/>
  <c r="Q121" i="12" s="1"/>
  <c r="F120" i="12"/>
  <c r="Q120" i="12" s="1"/>
  <c r="F119" i="12"/>
  <c r="Q119" i="12" s="1"/>
  <c r="F118" i="12"/>
  <c r="F117" i="12"/>
  <c r="Q117" i="12" s="1"/>
  <c r="F116" i="12"/>
  <c r="Q116" i="12" s="1"/>
  <c r="F115" i="12"/>
  <c r="Q115" i="12" s="1"/>
  <c r="F114" i="12"/>
  <c r="F113" i="12"/>
  <c r="Q113" i="12" s="1"/>
  <c r="F112" i="12"/>
  <c r="Q112" i="12" s="1"/>
  <c r="F111" i="12"/>
  <c r="Q111" i="12" s="1"/>
  <c r="F110" i="12"/>
  <c r="F109" i="12"/>
  <c r="Q109" i="12" s="1"/>
  <c r="F108" i="12"/>
  <c r="Q108" i="12" s="1"/>
  <c r="F107" i="12"/>
  <c r="Q107" i="12" s="1"/>
  <c r="F106" i="12"/>
  <c r="F103" i="12"/>
  <c r="Q103" i="12" s="1"/>
  <c r="F102" i="12"/>
  <c r="Q102" i="12" s="1"/>
  <c r="F101" i="12"/>
  <c r="Q101" i="12" s="1"/>
  <c r="F100" i="12"/>
  <c r="F99" i="12"/>
  <c r="Q99" i="12" s="1"/>
  <c r="F98" i="12"/>
  <c r="Q98" i="12" s="1"/>
  <c r="F97" i="12"/>
  <c r="Q97" i="12" s="1"/>
  <c r="F96" i="12"/>
  <c r="F95" i="12"/>
  <c r="Q95" i="12" s="1"/>
  <c r="F94" i="12"/>
  <c r="Q94" i="12" s="1"/>
  <c r="F93" i="12"/>
  <c r="Q93" i="12" s="1"/>
  <c r="F92" i="12"/>
  <c r="F91" i="12"/>
  <c r="Q91" i="12" s="1"/>
  <c r="F90" i="12"/>
  <c r="Q90" i="12" s="1"/>
  <c r="F87" i="12"/>
  <c r="Q87" i="12" s="1"/>
  <c r="F86" i="12"/>
  <c r="F85" i="12"/>
  <c r="Q85" i="12" s="1"/>
  <c r="F84" i="12"/>
  <c r="Q84" i="12" s="1"/>
  <c r="F83" i="12"/>
  <c r="Q83" i="12" s="1"/>
  <c r="F82" i="12"/>
  <c r="F81" i="12"/>
  <c r="Q81" i="12" s="1"/>
  <c r="F80" i="12"/>
  <c r="Q80" i="12" s="1"/>
  <c r="F79" i="12"/>
  <c r="Q79" i="12" s="1"/>
  <c r="F78" i="12"/>
  <c r="F141" i="11"/>
  <c r="Q141" i="11" s="1"/>
  <c r="F139" i="11"/>
  <c r="Q139" i="11" s="1"/>
  <c r="F138" i="11"/>
  <c r="Q138" i="11" s="1"/>
  <c r="F137" i="11"/>
  <c r="F136" i="11"/>
  <c r="F135" i="11"/>
  <c r="F134" i="11"/>
  <c r="Q134" i="11" s="1"/>
  <c r="F133" i="11"/>
  <c r="Q133" i="11" s="1"/>
  <c r="F132" i="11"/>
  <c r="F131" i="11"/>
  <c r="F130" i="11"/>
  <c r="Q130" i="11" s="1"/>
  <c r="F127" i="11"/>
  <c r="Q127" i="11" s="1"/>
  <c r="F126" i="11"/>
  <c r="F125" i="11"/>
  <c r="F124" i="11"/>
  <c r="Q124" i="11" s="1"/>
  <c r="F123" i="11"/>
  <c r="Q123" i="11" s="1"/>
  <c r="F122" i="11"/>
  <c r="F121" i="11"/>
  <c r="F120" i="11"/>
  <c r="Q120" i="11" s="1"/>
  <c r="F119" i="11"/>
  <c r="Q119" i="11" s="1"/>
  <c r="F118" i="11"/>
  <c r="F117" i="11"/>
  <c r="F116" i="11"/>
  <c r="Q116" i="11" s="1"/>
  <c r="F115" i="11"/>
  <c r="Q115" i="11" s="1"/>
  <c r="F114" i="11"/>
  <c r="F113" i="11"/>
  <c r="F112" i="11"/>
  <c r="Q112" i="11" s="1"/>
  <c r="F111" i="11"/>
  <c r="Q111" i="11" s="1"/>
  <c r="F110" i="11"/>
  <c r="F109" i="11"/>
  <c r="F108" i="11"/>
  <c r="Q108" i="11" s="1"/>
  <c r="F107" i="11"/>
  <c r="Q107" i="11" s="1"/>
  <c r="F106" i="11"/>
  <c r="F103" i="11"/>
  <c r="F102" i="11"/>
  <c r="Q102" i="11" s="1"/>
  <c r="F101" i="11"/>
  <c r="Q101" i="11" s="1"/>
  <c r="F100" i="11"/>
  <c r="F99" i="11"/>
  <c r="F98" i="11"/>
  <c r="Q98" i="11" s="1"/>
  <c r="F97" i="11"/>
  <c r="Q97" i="11" s="1"/>
  <c r="F96" i="11"/>
  <c r="F95" i="11"/>
  <c r="F94" i="11"/>
  <c r="Q94" i="11" s="1"/>
  <c r="F93" i="11"/>
  <c r="Q93" i="11" s="1"/>
  <c r="F92" i="11"/>
  <c r="F91" i="11"/>
  <c r="F90" i="11"/>
  <c r="Q90" i="11" s="1"/>
  <c r="F87" i="11"/>
  <c r="Q87" i="11" s="1"/>
  <c r="F86" i="11"/>
  <c r="F85" i="11"/>
  <c r="F84" i="11"/>
  <c r="Q84" i="11" s="1"/>
  <c r="F83" i="11"/>
  <c r="Q83" i="11" s="1"/>
  <c r="F82" i="11"/>
  <c r="F81" i="11"/>
  <c r="F80" i="11"/>
  <c r="Q80" i="11" s="1"/>
  <c r="F79" i="11"/>
  <c r="Q79" i="11" s="1"/>
  <c r="F78" i="11"/>
  <c r="F141" i="10"/>
  <c r="Q141" i="10" s="1"/>
  <c r="F139" i="10"/>
  <c r="Q139" i="10" s="1"/>
  <c r="F138" i="10"/>
  <c r="F137" i="10"/>
  <c r="F136" i="10"/>
  <c r="F135" i="10"/>
  <c r="Q135" i="10" s="1"/>
  <c r="F134" i="10"/>
  <c r="Q134" i="10" s="1"/>
  <c r="F133" i="10"/>
  <c r="F132" i="10"/>
  <c r="F131" i="10"/>
  <c r="Q131" i="10" s="1"/>
  <c r="F130" i="10"/>
  <c r="Q130" i="10" s="1"/>
  <c r="F127" i="10"/>
  <c r="F126" i="10"/>
  <c r="F125" i="10"/>
  <c r="Q125" i="10" s="1"/>
  <c r="F124" i="10"/>
  <c r="Q124" i="10" s="1"/>
  <c r="F123" i="10"/>
  <c r="F122" i="10"/>
  <c r="F121" i="10"/>
  <c r="Q121" i="10" s="1"/>
  <c r="F120" i="10"/>
  <c r="Q120" i="10" s="1"/>
  <c r="F119" i="10"/>
  <c r="F118" i="10"/>
  <c r="F117" i="10"/>
  <c r="Q117" i="10" s="1"/>
  <c r="F116" i="10"/>
  <c r="Q116" i="10" s="1"/>
  <c r="F115" i="10"/>
  <c r="F114" i="10"/>
  <c r="F113" i="10"/>
  <c r="Q113" i="10" s="1"/>
  <c r="F112" i="10"/>
  <c r="Q112" i="10" s="1"/>
  <c r="F111" i="10"/>
  <c r="F110" i="10"/>
  <c r="F109" i="10"/>
  <c r="Q109" i="10" s="1"/>
  <c r="F108" i="10"/>
  <c r="Q108" i="10" s="1"/>
  <c r="F107" i="10"/>
  <c r="F106" i="10"/>
  <c r="F103" i="10"/>
  <c r="Q103" i="10" s="1"/>
  <c r="F102" i="10"/>
  <c r="Q102" i="10" s="1"/>
  <c r="F101" i="10"/>
  <c r="F100" i="10"/>
  <c r="F99" i="10"/>
  <c r="Q99" i="10" s="1"/>
  <c r="F98" i="10"/>
  <c r="Q98" i="10" s="1"/>
  <c r="F97" i="10"/>
  <c r="F96" i="10"/>
  <c r="F95" i="10"/>
  <c r="Q95" i="10" s="1"/>
  <c r="F94" i="10"/>
  <c r="Q94" i="10" s="1"/>
  <c r="F93" i="10"/>
  <c r="F92" i="10"/>
  <c r="F91" i="10"/>
  <c r="Q91" i="10" s="1"/>
  <c r="F90" i="10"/>
  <c r="Q90" i="10" s="1"/>
  <c r="F87" i="10"/>
  <c r="F86" i="10"/>
  <c r="F85" i="10"/>
  <c r="Q85" i="10" s="1"/>
  <c r="F84" i="10"/>
  <c r="Q84" i="10" s="1"/>
  <c r="F83" i="10"/>
  <c r="F82" i="10"/>
  <c r="F81" i="10"/>
  <c r="Q81" i="10" s="1"/>
  <c r="F80" i="10"/>
  <c r="Q80" i="10" s="1"/>
  <c r="F79" i="10"/>
  <c r="F78" i="10"/>
  <c r="F141" i="9"/>
  <c r="Q141" i="9" s="1"/>
  <c r="F139" i="9"/>
  <c r="F138" i="9"/>
  <c r="Q138" i="9" s="1"/>
  <c r="F137" i="9"/>
  <c r="F136" i="9"/>
  <c r="Q136" i="9" s="1"/>
  <c r="F135" i="9"/>
  <c r="F134" i="9"/>
  <c r="F133" i="9"/>
  <c r="Q133" i="9" s="1"/>
  <c r="F132" i="9"/>
  <c r="Q132" i="9" s="1"/>
  <c r="F131" i="9"/>
  <c r="F130" i="9"/>
  <c r="F128" i="9"/>
  <c r="F127" i="9"/>
  <c r="Q127" i="9" s="1"/>
  <c r="F126" i="9"/>
  <c r="Q126" i="9" s="1"/>
  <c r="F125" i="9"/>
  <c r="F124" i="9"/>
  <c r="F123" i="9"/>
  <c r="Q123" i="9" s="1"/>
  <c r="F122" i="9"/>
  <c r="Q122" i="9" s="1"/>
  <c r="F121" i="9"/>
  <c r="F120" i="9"/>
  <c r="F119" i="9"/>
  <c r="Q119" i="9" s="1"/>
  <c r="F118" i="9"/>
  <c r="Q118" i="9" s="1"/>
  <c r="F117" i="9"/>
  <c r="F116" i="9"/>
  <c r="F115" i="9"/>
  <c r="Q115" i="9" s="1"/>
  <c r="F114" i="9"/>
  <c r="Q114" i="9" s="1"/>
  <c r="F113" i="9"/>
  <c r="F112" i="9"/>
  <c r="F111" i="9"/>
  <c r="Q111" i="9" s="1"/>
  <c r="F110" i="9"/>
  <c r="Q110" i="9" s="1"/>
  <c r="F109" i="9"/>
  <c r="F108" i="9"/>
  <c r="F107" i="9"/>
  <c r="Q107" i="9" s="1"/>
  <c r="F106" i="9"/>
  <c r="Q106" i="9" s="1"/>
  <c r="F103" i="9"/>
  <c r="F102" i="9"/>
  <c r="F101" i="9"/>
  <c r="Q101" i="9" s="1"/>
  <c r="F100" i="9"/>
  <c r="Q100" i="9" s="1"/>
  <c r="F99" i="9"/>
  <c r="F98" i="9"/>
  <c r="F97" i="9"/>
  <c r="Q97" i="9" s="1"/>
  <c r="F96" i="9"/>
  <c r="Q96" i="9" s="1"/>
  <c r="F95" i="9"/>
  <c r="F94" i="9"/>
  <c r="F93" i="9"/>
  <c r="Q93" i="9" s="1"/>
  <c r="F92" i="9"/>
  <c r="Q92" i="9" s="1"/>
  <c r="F91" i="9"/>
  <c r="F90" i="9"/>
  <c r="F87" i="9"/>
  <c r="Q87" i="9" s="1"/>
  <c r="F86" i="9"/>
  <c r="Q86" i="9" s="1"/>
  <c r="F85" i="9"/>
  <c r="F84" i="9"/>
  <c r="F83" i="9"/>
  <c r="Q83" i="9" s="1"/>
  <c r="F82" i="9"/>
  <c r="Q82" i="9" s="1"/>
  <c r="F81" i="9"/>
  <c r="F80" i="9"/>
  <c r="F79" i="9"/>
  <c r="Q79" i="9" s="1"/>
  <c r="F78" i="9"/>
  <c r="Q78" i="9" s="1"/>
  <c r="F141" i="8"/>
  <c r="Q141" i="8" s="1"/>
  <c r="F139" i="8"/>
  <c r="F138" i="8"/>
  <c r="Q138" i="8" s="1"/>
  <c r="F137" i="8"/>
  <c r="F136" i="8"/>
  <c r="F135" i="8"/>
  <c r="Q135" i="8" s="1"/>
  <c r="F134" i="8"/>
  <c r="Q134" i="8" s="1"/>
  <c r="F133" i="8"/>
  <c r="F132" i="8"/>
  <c r="F131" i="8"/>
  <c r="Q131" i="8" s="1"/>
  <c r="F130" i="8"/>
  <c r="Q130" i="8" s="1"/>
  <c r="F127" i="8"/>
  <c r="F126" i="8"/>
  <c r="F125" i="8"/>
  <c r="Q125" i="8" s="1"/>
  <c r="F124" i="8"/>
  <c r="Q124" i="8" s="1"/>
  <c r="F123" i="8"/>
  <c r="F122" i="8"/>
  <c r="F121" i="8"/>
  <c r="Q121" i="8" s="1"/>
  <c r="F120" i="8"/>
  <c r="Q120" i="8" s="1"/>
  <c r="F119" i="8"/>
  <c r="F118" i="8"/>
  <c r="F117" i="8"/>
  <c r="Q117" i="8" s="1"/>
  <c r="F116" i="8"/>
  <c r="Q116" i="8" s="1"/>
  <c r="F115" i="8"/>
  <c r="F114" i="8"/>
  <c r="F113" i="8"/>
  <c r="Q113" i="8" s="1"/>
  <c r="F112" i="8"/>
  <c r="Q112" i="8" s="1"/>
  <c r="F111" i="8"/>
  <c r="F110" i="8"/>
  <c r="F109" i="8"/>
  <c r="Q109" i="8" s="1"/>
  <c r="F108" i="8"/>
  <c r="Q108" i="8" s="1"/>
  <c r="F107" i="8"/>
  <c r="F106" i="8"/>
  <c r="F103" i="8"/>
  <c r="Q103" i="8" s="1"/>
  <c r="F102" i="8"/>
  <c r="Q102" i="8" s="1"/>
  <c r="F101" i="8"/>
  <c r="F100" i="8"/>
  <c r="F99" i="8"/>
  <c r="Q99" i="8" s="1"/>
  <c r="F98" i="8"/>
  <c r="Q98" i="8" s="1"/>
  <c r="F97" i="8"/>
  <c r="F96" i="8"/>
  <c r="F95" i="8"/>
  <c r="Q95" i="8" s="1"/>
  <c r="F94" i="8"/>
  <c r="Q94" i="8" s="1"/>
  <c r="F93" i="8"/>
  <c r="F92" i="8"/>
  <c r="F91" i="8"/>
  <c r="Q91" i="8" s="1"/>
  <c r="F90" i="8"/>
  <c r="Q90" i="8" s="1"/>
  <c r="F87" i="8"/>
  <c r="F86" i="8"/>
  <c r="F85" i="8"/>
  <c r="Q85" i="8" s="1"/>
  <c r="F84" i="8"/>
  <c r="Q84" i="8" s="1"/>
  <c r="F83" i="8"/>
  <c r="F82" i="8"/>
  <c r="F81" i="8"/>
  <c r="Q81" i="8" s="1"/>
  <c r="F80" i="8"/>
  <c r="Q80" i="8" s="1"/>
  <c r="F79" i="8"/>
  <c r="F78" i="8"/>
  <c r="F141" i="7"/>
  <c r="Q141" i="7" s="1"/>
  <c r="F139" i="7"/>
  <c r="F138" i="7"/>
  <c r="F137" i="7"/>
  <c r="Q137" i="7" s="1"/>
  <c r="F136" i="7"/>
  <c r="Q136" i="7" s="1"/>
  <c r="F135" i="7"/>
  <c r="Q135" i="7" s="1"/>
  <c r="F134" i="7"/>
  <c r="Q134" i="7" s="1"/>
  <c r="F133" i="7"/>
  <c r="Q133" i="7" s="1"/>
  <c r="F132" i="7"/>
  <c r="Q132" i="7" s="1"/>
  <c r="F131" i="7"/>
  <c r="Q131" i="7" s="1"/>
  <c r="F130" i="7"/>
  <c r="Q130" i="7" s="1"/>
  <c r="F127" i="7"/>
  <c r="Q127" i="7" s="1"/>
  <c r="F126" i="7"/>
  <c r="Q126" i="7" s="1"/>
  <c r="F125" i="7"/>
  <c r="Q125" i="7" s="1"/>
  <c r="F124" i="7"/>
  <c r="Q124" i="7" s="1"/>
  <c r="F123" i="7"/>
  <c r="Q123" i="7" s="1"/>
  <c r="F122" i="7"/>
  <c r="Q122" i="7" s="1"/>
  <c r="F121" i="7"/>
  <c r="Q121" i="7" s="1"/>
  <c r="F120" i="7"/>
  <c r="Q120" i="7" s="1"/>
  <c r="F119" i="7"/>
  <c r="Q119" i="7" s="1"/>
  <c r="F118" i="7"/>
  <c r="Q118" i="7" s="1"/>
  <c r="F117" i="7"/>
  <c r="Q117" i="7" s="1"/>
  <c r="F116" i="7"/>
  <c r="Q116" i="7" s="1"/>
  <c r="F115" i="7"/>
  <c r="Q115" i="7" s="1"/>
  <c r="F114" i="7"/>
  <c r="Q114" i="7" s="1"/>
  <c r="F113" i="7"/>
  <c r="Q113" i="7" s="1"/>
  <c r="F112" i="7"/>
  <c r="Q112" i="7" s="1"/>
  <c r="F111" i="7"/>
  <c r="Q111" i="7" s="1"/>
  <c r="F110" i="7"/>
  <c r="Q110" i="7" s="1"/>
  <c r="F109" i="7"/>
  <c r="Q109" i="7" s="1"/>
  <c r="F108" i="7"/>
  <c r="Q108" i="7" s="1"/>
  <c r="F107" i="7"/>
  <c r="Q107" i="7" s="1"/>
  <c r="F106" i="7"/>
  <c r="Q106" i="7" s="1"/>
  <c r="F103" i="7"/>
  <c r="Q103" i="7" s="1"/>
  <c r="F102" i="7"/>
  <c r="Q102" i="7" s="1"/>
  <c r="F101" i="7"/>
  <c r="Q101" i="7" s="1"/>
  <c r="F100" i="7"/>
  <c r="Q100" i="7" s="1"/>
  <c r="F99" i="7"/>
  <c r="Q99" i="7" s="1"/>
  <c r="F98" i="7"/>
  <c r="Q98" i="7" s="1"/>
  <c r="F97" i="7"/>
  <c r="Q97" i="7" s="1"/>
  <c r="F96" i="7"/>
  <c r="Q96" i="7" s="1"/>
  <c r="F95" i="7"/>
  <c r="Q95" i="7" s="1"/>
  <c r="F94" i="7"/>
  <c r="Q94" i="7" s="1"/>
  <c r="F93" i="7"/>
  <c r="Q93" i="7" s="1"/>
  <c r="F92" i="7"/>
  <c r="Q92" i="7" s="1"/>
  <c r="F91" i="7"/>
  <c r="Q91" i="7" s="1"/>
  <c r="F90" i="7"/>
  <c r="Q90" i="7" s="1"/>
  <c r="F87" i="7"/>
  <c r="Q87" i="7" s="1"/>
  <c r="F86" i="7"/>
  <c r="Q86" i="7" s="1"/>
  <c r="F85" i="7"/>
  <c r="Q85" i="7" s="1"/>
  <c r="F84" i="7"/>
  <c r="Q84" i="7" s="1"/>
  <c r="F83" i="7"/>
  <c r="Q83" i="7" s="1"/>
  <c r="F82" i="7"/>
  <c r="Q82" i="7" s="1"/>
  <c r="F81" i="7"/>
  <c r="Q81" i="7" s="1"/>
  <c r="F80" i="7"/>
  <c r="Q80" i="7" s="1"/>
  <c r="F79" i="7"/>
  <c r="Q79" i="7" s="1"/>
  <c r="F78" i="7"/>
  <c r="Q78" i="7" s="1"/>
  <c r="F77" i="7"/>
  <c r="Q77" i="7" s="1"/>
  <c r="F141" i="6"/>
  <c r="F138" i="6"/>
  <c r="Q138" i="6" s="1"/>
  <c r="F136" i="6"/>
  <c r="F135" i="6"/>
  <c r="Q135" i="6" s="1"/>
  <c r="F134" i="6"/>
  <c r="F133" i="6"/>
  <c r="Q133" i="6" s="1"/>
  <c r="F132" i="6"/>
  <c r="F131" i="6"/>
  <c r="Q131" i="6" s="1"/>
  <c r="F130" i="6"/>
  <c r="F127" i="6"/>
  <c r="Q127" i="6" s="1"/>
  <c r="F126" i="6"/>
  <c r="F125" i="6"/>
  <c r="Q125" i="6" s="1"/>
  <c r="F124" i="6"/>
  <c r="F123" i="6"/>
  <c r="Q123" i="6" s="1"/>
  <c r="F122" i="6"/>
  <c r="F121" i="6"/>
  <c r="Q121" i="6" s="1"/>
  <c r="F120" i="6"/>
  <c r="F119" i="6"/>
  <c r="Q119" i="6" s="1"/>
  <c r="F118" i="6"/>
  <c r="F117" i="6"/>
  <c r="Q117" i="6" s="1"/>
  <c r="F116" i="6"/>
  <c r="F115" i="6"/>
  <c r="Q115" i="6" s="1"/>
  <c r="F114" i="6"/>
  <c r="F113" i="6"/>
  <c r="Q113" i="6" s="1"/>
  <c r="F112" i="6"/>
  <c r="F111" i="6"/>
  <c r="Q111" i="6" s="1"/>
  <c r="F110" i="6"/>
  <c r="F109" i="6"/>
  <c r="Q109" i="6" s="1"/>
  <c r="F108" i="6"/>
  <c r="F107" i="6"/>
  <c r="Q107" i="6" s="1"/>
  <c r="F106" i="6"/>
  <c r="F103" i="6"/>
  <c r="Q103" i="6" s="1"/>
  <c r="F102" i="6"/>
  <c r="F101" i="6"/>
  <c r="Q101" i="6" s="1"/>
  <c r="F100" i="6"/>
  <c r="F99" i="6"/>
  <c r="Q99" i="6" s="1"/>
  <c r="F98" i="6"/>
  <c r="F97" i="6"/>
  <c r="Q97" i="6" s="1"/>
  <c r="F96" i="6"/>
  <c r="F95" i="6"/>
  <c r="Q95" i="6" s="1"/>
  <c r="F94" i="6"/>
  <c r="F93" i="6"/>
  <c r="Q93" i="6" s="1"/>
  <c r="F92" i="6"/>
  <c r="F91" i="6"/>
  <c r="Q91" i="6" s="1"/>
  <c r="F90" i="6"/>
  <c r="F87" i="6"/>
  <c r="Q87" i="6" s="1"/>
  <c r="F86" i="6"/>
  <c r="F85" i="6"/>
  <c r="Q85" i="6" s="1"/>
  <c r="F84" i="6"/>
  <c r="F83" i="6"/>
  <c r="Q83" i="6" s="1"/>
  <c r="F82" i="6"/>
  <c r="F81" i="6"/>
  <c r="Q81" i="6" s="1"/>
  <c r="F80" i="6"/>
  <c r="F79" i="6"/>
  <c r="Q79" i="6" s="1"/>
  <c r="F78" i="6"/>
  <c r="F141" i="5"/>
  <c r="Q141" i="5" s="1"/>
  <c r="F138" i="5"/>
  <c r="F137" i="5"/>
  <c r="F136" i="5"/>
  <c r="Q136" i="5" s="1"/>
  <c r="F135" i="5"/>
  <c r="Q135" i="5" s="1"/>
  <c r="F134" i="5"/>
  <c r="Q134" i="5" s="1"/>
  <c r="F133" i="5"/>
  <c r="Q133" i="5" s="1"/>
  <c r="F132" i="5"/>
  <c r="Q132" i="5" s="1"/>
  <c r="F131" i="5"/>
  <c r="Q131" i="5" s="1"/>
  <c r="F130" i="5"/>
  <c r="Q130" i="5" s="1"/>
  <c r="F127" i="5"/>
  <c r="Q127" i="5" s="1"/>
  <c r="F126" i="5"/>
  <c r="Q126" i="5" s="1"/>
  <c r="F125" i="5"/>
  <c r="Q125" i="5" s="1"/>
  <c r="F124" i="5"/>
  <c r="Q124" i="5" s="1"/>
  <c r="F123" i="5"/>
  <c r="Q123" i="5" s="1"/>
  <c r="F122" i="5"/>
  <c r="Q122" i="5" s="1"/>
  <c r="F121" i="5"/>
  <c r="Q121" i="5" s="1"/>
  <c r="F120" i="5"/>
  <c r="Q120" i="5" s="1"/>
  <c r="F119" i="5"/>
  <c r="Q119" i="5" s="1"/>
  <c r="F118" i="5"/>
  <c r="Q118" i="5" s="1"/>
  <c r="F117" i="5"/>
  <c r="Q117" i="5" s="1"/>
  <c r="F116" i="5"/>
  <c r="Q116" i="5" s="1"/>
  <c r="F115" i="5"/>
  <c r="Q115" i="5" s="1"/>
  <c r="F114" i="5"/>
  <c r="Q114" i="5" s="1"/>
  <c r="F113" i="5"/>
  <c r="Q113" i="5" s="1"/>
  <c r="F112" i="5"/>
  <c r="Q112" i="5" s="1"/>
  <c r="F111" i="5"/>
  <c r="Q111" i="5" s="1"/>
  <c r="F110" i="5"/>
  <c r="Q110" i="5" s="1"/>
  <c r="F109" i="5"/>
  <c r="Q109" i="5" s="1"/>
  <c r="F108" i="5"/>
  <c r="Q108" i="5" s="1"/>
  <c r="F107" i="5"/>
  <c r="Q107" i="5" s="1"/>
  <c r="F106" i="5"/>
  <c r="Q106" i="5" s="1"/>
  <c r="F103" i="5"/>
  <c r="Q103" i="5" s="1"/>
  <c r="F102" i="5"/>
  <c r="Q102" i="5" s="1"/>
  <c r="F101" i="5"/>
  <c r="Q101" i="5" s="1"/>
  <c r="F100" i="5"/>
  <c r="Q100" i="5" s="1"/>
  <c r="F99" i="5"/>
  <c r="Q99" i="5" s="1"/>
  <c r="F98" i="5"/>
  <c r="Q98" i="5" s="1"/>
  <c r="F97" i="5"/>
  <c r="Q97" i="5" s="1"/>
  <c r="F96" i="5"/>
  <c r="Q96" i="5" s="1"/>
  <c r="F95" i="5"/>
  <c r="Q95" i="5" s="1"/>
  <c r="F94" i="5"/>
  <c r="Q94" i="5" s="1"/>
  <c r="F93" i="5"/>
  <c r="Q93" i="5" s="1"/>
  <c r="F92" i="5"/>
  <c r="Q92" i="5" s="1"/>
  <c r="F91" i="5"/>
  <c r="Q91" i="5" s="1"/>
  <c r="F90" i="5"/>
  <c r="Q90" i="5" s="1"/>
  <c r="F89" i="5"/>
  <c r="F87" i="5"/>
  <c r="F86" i="5"/>
  <c r="Q86" i="5" s="1"/>
  <c r="F85" i="5"/>
  <c r="F84" i="5"/>
  <c r="Q84" i="5" s="1"/>
  <c r="F83" i="5"/>
  <c r="F82" i="5"/>
  <c r="Q82" i="5" s="1"/>
  <c r="F81" i="5"/>
  <c r="F80" i="5"/>
  <c r="Q80" i="5" s="1"/>
  <c r="F79" i="5"/>
  <c r="F78" i="5"/>
  <c r="Q78" i="5" s="1"/>
  <c r="F141" i="4"/>
  <c r="F139" i="4"/>
  <c r="F138" i="4"/>
  <c r="Q138" i="4" s="1"/>
  <c r="F136" i="4"/>
  <c r="Q136" i="4" s="1"/>
  <c r="F135" i="4"/>
  <c r="F134" i="4"/>
  <c r="F133" i="4"/>
  <c r="Q133" i="4" s="1"/>
  <c r="F132" i="4"/>
  <c r="Q132" i="4" s="1"/>
  <c r="F131" i="4"/>
  <c r="F130" i="4"/>
  <c r="F127" i="4"/>
  <c r="Q127" i="4" s="1"/>
  <c r="F126" i="4"/>
  <c r="Q126" i="4" s="1"/>
  <c r="F125" i="4"/>
  <c r="F124" i="4"/>
  <c r="F123" i="4"/>
  <c r="Q123" i="4" s="1"/>
  <c r="F122" i="4"/>
  <c r="Q122" i="4" s="1"/>
  <c r="F121" i="4"/>
  <c r="F120" i="4"/>
  <c r="F119" i="4"/>
  <c r="Q119" i="4" s="1"/>
  <c r="F118" i="4"/>
  <c r="Q118" i="4" s="1"/>
  <c r="F117" i="4"/>
  <c r="F116" i="4"/>
  <c r="F115" i="4"/>
  <c r="Q115" i="4" s="1"/>
  <c r="F114" i="4"/>
  <c r="Q114" i="4" s="1"/>
  <c r="F113" i="4"/>
  <c r="F112" i="4"/>
  <c r="F111" i="4"/>
  <c r="Q111" i="4" s="1"/>
  <c r="F110" i="4"/>
  <c r="Q110" i="4" s="1"/>
  <c r="F109" i="4"/>
  <c r="F108" i="4"/>
  <c r="F107" i="4"/>
  <c r="Q107" i="4" s="1"/>
  <c r="F106" i="4"/>
  <c r="Q106" i="4" s="1"/>
  <c r="F103" i="4"/>
  <c r="F102" i="4"/>
  <c r="F101" i="4"/>
  <c r="Q101" i="4" s="1"/>
  <c r="F100" i="4"/>
  <c r="Q100" i="4" s="1"/>
  <c r="F99" i="4"/>
  <c r="F98" i="4"/>
  <c r="F97" i="4"/>
  <c r="Q97" i="4" s="1"/>
  <c r="F96" i="4"/>
  <c r="Q96" i="4" s="1"/>
  <c r="F95" i="4"/>
  <c r="F94" i="4"/>
  <c r="F93" i="4"/>
  <c r="Q93" i="4" s="1"/>
  <c r="F92" i="4"/>
  <c r="Q92" i="4" s="1"/>
  <c r="F91" i="4"/>
  <c r="F90" i="4"/>
  <c r="F87" i="4"/>
  <c r="Q87" i="4" s="1"/>
  <c r="F86" i="4"/>
  <c r="Q86" i="4" s="1"/>
  <c r="F85" i="4"/>
  <c r="F84" i="4"/>
  <c r="F83" i="4"/>
  <c r="Q83" i="4" s="1"/>
  <c r="F82" i="4"/>
  <c r="Q82" i="4" s="1"/>
  <c r="F81" i="4"/>
  <c r="F80" i="4"/>
  <c r="F79" i="4"/>
  <c r="Q79" i="4" s="1"/>
  <c r="F78" i="4"/>
  <c r="Q78" i="4" s="1"/>
  <c r="F141" i="3"/>
  <c r="Q141" i="3" s="1"/>
  <c r="F138" i="3"/>
  <c r="Q138" i="3" s="1"/>
  <c r="F137" i="3"/>
  <c r="F136" i="3"/>
  <c r="Q136" i="3" s="1"/>
  <c r="F135" i="3"/>
  <c r="F134" i="3"/>
  <c r="Q134" i="3" s="1"/>
  <c r="F133" i="3"/>
  <c r="F132" i="3"/>
  <c r="Q132" i="3" s="1"/>
  <c r="F131" i="3"/>
  <c r="F130" i="3"/>
  <c r="Q130" i="3" s="1"/>
  <c r="F129" i="3"/>
  <c r="F127" i="3"/>
  <c r="Q127" i="3" s="1"/>
  <c r="F126" i="3"/>
  <c r="Q126" i="3" s="1"/>
  <c r="F125" i="3"/>
  <c r="Q125" i="3" s="1"/>
  <c r="F124" i="3"/>
  <c r="Q124" i="3" s="1"/>
  <c r="F123" i="3"/>
  <c r="Q123" i="3" s="1"/>
  <c r="F122" i="3"/>
  <c r="Q122" i="3" s="1"/>
  <c r="F121" i="3"/>
  <c r="Q121" i="3" s="1"/>
  <c r="F120" i="3"/>
  <c r="Q120" i="3" s="1"/>
  <c r="F119" i="3"/>
  <c r="Q119" i="3" s="1"/>
  <c r="F118" i="3"/>
  <c r="Q118" i="3" s="1"/>
  <c r="F117" i="3"/>
  <c r="Q117" i="3" s="1"/>
  <c r="F116" i="3"/>
  <c r="Q116" i="3" s="1"/>
  <c r="F115" i="3"/>
  <c r="Q115" i="3" s="1"/>
  <c r="F114" i="3"/>
  <c r="Q114" i="3" s="1"/>
  <c r="F113" i="3"/>
  <c r="Q113" i="3" s="1"/>
  <c r="F112" i="3"/>
  <c r="Q112" i="3" s="1"/>
  <c r="F111" i="3"/>
  <c r="Q111" i="3" s="1"/>
  <c r="F110" i="3"/>
  <c r="Q110" i="3" s="1"/>
  <c r="F109" i="3"/>
  <c r="Q109" i="3" s="1"/>
  <c r="F108" i="3"/>
  <c r="Q108" i="3" s="1"/>
  <c r="F107" i="3"/>
  <c r="Q107" i="3" s="1"/>
  <c r="F106" i="3"/>
  <c r="Q106" i="3" s="1"/>
  <c r="F103" i="3"/>
  <c r="Q103" i="3" s="1"/>
  <c r="F102" i="3"/>
  <c r="Q102" i="3" s="1"/>
  <c r="F101" i="3"/>
  <c r="Q101" i="3" s="1"/>
  <c r="F100" i="3"/>
  <c r="Q100" i="3" s="1"/>
  <c r="F99" i="3"/>
  <c r="Q99" i="3" s="1"/>
  <c r="F98" i="3"/>
  <c r="Q98" i="3" s="1"/>
  <c r="F97" i="3"/>
  <c r="Q97" i="3" s="1"/>
  <c r="F96" i="3"/>
  <c r="Q96" i="3" s="1"/>
  <c r="F95" i="3"/>
  <c r="Q95" i="3" s="1"/>
  <c r="F94" i="3"/>
  <c r="Q94" i="3" s="1"/>
  <c r="F93" i="3"/>
  <c r="Q93" i="3" s="1"/>
  <c r="F92" i="3"/>
  <c r="Q92" i="3" s="1"/>
  <c r="F91" i="3"/>
  <c r="Q91" i="3" s="1"/>
  <c r="F90" i="3"/>
  <c r="Q90" i="3" s="1"/>
  <c r="F87" i="3"/>
  <c r="Q87" i="3" s="1"/>
  <c r="F86" i="3"/>
  <c r="Q86" i="3" s="1"/>
  <c r="F85" i="3"/>
  <c r="Q85" i="3" s="1"/>
  <c r="F84" i="3"/>
  <c r="Q84" i="3" s="1"/>
  <c r="F83" i="3"/>
  <c r="Q83" i="3" s="1"/>
  <c r="F82" i="3"/>
  <c r="Q82" i="3" s="1"/>
  <c r="F81" i="3"/>
  <c r="Q81" i="3" s="1"/>
  <c r="F80" i="3"/>
  <c r="Q80" i="3" s="1"/>
  <c r="F79" i="3"/>
  <c r="Q79" i="3" s="1"/>
  <c r="F78" i="3"/>
  <c r="Q78" i="3" s="1"/>
  <c r="F141" i="2"/>
  <c r="Q141" i="2" s="1"/>
  <c r="F138" i="2"/>
  <c r="F136" i="2"/>
  <c r="Q136" i="2" s="1"/>
  <c r="F135" i="2"/>
  <c r="F134" i="2"/>
  <c r="Q134" i="2" s="1"/>
  <c r="F133" i="2"/>
  <c r="F132" i="2"/>
  <c r="Q132" i="2" s="1"/>
  <c r="F131" i="2"/>
  <c r="F130" i="2"/>
  <c r="Q130" i="2" s="1"/>
  <c r="F127" i="2"/>
  <c r="Q127" i="2" s="1"/>
  <c r="F126" i="2"/>
  <c r="Q126" i="2" s="1"/>
  <c r="F125" i="2"/>
  <c r="Q125" i="2" s="1"/>
  <c r="F124" i="2"/>
  <c r="Q124" i="2" s="1"/>
  <c r="F123" i="2"/>
  <c r="Q123" i="2" s="1"/>
  <c r="F122" i="2"/>
  <c r="Q122" i="2" s="1"/>
  <c r="F121" i="2"/>
  <c r="Q121" i="2" s="1"/>
  <c r="F120" i="2"/>
  <c r="Q120" i="2" s="1"/>
  <c r="F119" i="2"/>
  <c r="Q119" i="2" s="1"/>
  <c r="F118" i="2"/>
  <c r="Q118" i="2" s="1"/>
  <c r="F117" i="2"/>
  <c r="Q117" i="2" s="1"/>
  <c r="F116" i="2"/>
  <c r="Q116" i="2" s="1"/>
  <c r="F115" i="2"/>
  <c r="Q115" i="2" s="1"/>
  <c r="F114" i="2"/>
  <c r="Q114" i="2" s="1"/>
  <c r="F113" i="2"/>
  <c r="Q113" i="2" s="1"/>
  <c r="F112" i="2"/>
  <c r="Q112" i="2" s="1"/>
  <c r="F111" i="2"/>
  <c r="Q111" i="2" s="1"/>
  <c r="F110" i="2"/>
  <c r="Q110" i="2" s="1"/>
  <c r="F109" i="2"/>
  <c r="Q109" i="2" s="1"/>
  <c r="F108" i="2"/>
  <c r="Q108" i="2" s="1"/>
  <c r="F107" i="2"/>
  <c r="Q107" i="2" s="1"/>
  <c r="F106" i="2"/>
  <c r="Q106" i="2" s="1"/>
  <c r="F103" i="2"/>
  <c r="Q103" i="2" s="1"/>
  <c r="F102" i="2"/>
  <c r="Q102" i="2" s="1"/>
  <c r="F101" i="2"/>
  <c r="Q101" i="2" s="1"/>
  <c r="F100" i="2"/>
  <c r="Q100" i="2" s="1"/>
  <c r="F99" i="2"/>
  <c r="Q99" i="2" s="1"/>
  <c r="F98" i="2"/>
  <c r="Q98" i="2" s="1"/>
  <c r="F97" i="2"/>
  <c r="Q97" i="2" s="1"/>
  <c r="F96" i="2"/>
  <c r="Q96" i="2" s="1"/>
  <c r="F95" i="2"/>
  <c r="Q95" i="2" s="1"/>
  <c r="F94" i="2"/>
  <c r="Q94" i="2" s="1"/>
  <c r="F93" i="2"/>
  <c r="Q93" i="2" s="1"/>
  <c r="F92" i="2"/>
  <c r="Q92" i="2" s="1"/>
  <c r="F91" i="2"/>
  <c r="Q91" i="2" s="1"/>
  <c r="F90" i="2"/>
  <c r="Q90" i="2" s="1"/>
  <c r="F89" i="2"/>
  <c r="F87" i="2"/>
  <c r="Q87" i="2" s="1"/>
  <c r="F86" i="2"/>
  <c r="F85" i="2"/>
  <c r="Q85" i="2" s="1"/>
  <c r="F84" i="2"/>
  <c r="F83" i="2"/>
  <c r="Q83" i="2" s="1"/>
  <c r="F82" i="2"/>
  <c r="F81" i="2"/>
  <c r="Q81" i="2" s="1"/>
  <c r="F80" i="2"/>
  <c r="F79" i="2"/>
  <c r="Q79" i="2" s="1"/>
  <c r="F78" i="2"/>
  <c r="F68" i="12"/>
  <c r="Q68" i="12" s="1"/>
  <c r="F67" i="12"/>
  <c r="Q67" i="12" s="1"/>
  <c r="F66" i="12"/>
  <c r="Q66" i="12" s="1"/>
  <c r="F65" i="12"/>
  <c r="F64" i="12"/>
  <c r="Q64" i="12" s="1"/>
  <c r="F63" i="12"/>
  <c r="Q63" i="12" s="1"/>
  <c r="F62" i="12"/>
  <c r="Q62" i="12" s="1"/>
  <c r="F61" i="12"/>
  <c r="F58" i="12"/>
  <c r="Q58" i="12" s="1"/>
  <c r="F57" i="12"/>
  <c r="Q57" i="12" s="1"/>
  <c r="F56" i="12"/>
  <c r="Q56" i="12" s="1"/>
  <c r="F55" i="12"/>
  <c r="F54" i="12"/>
  <c r="Q54" i="12" s="1"/>
  <c r="F53" i="12"/>
  <c r="Q53" i="12" s="1"/>
  <c r="F52" i="12"/>
  <c r="Q52" i="12" s="1"/>
  <c r="F51" i="12"/>
  <c r="F50" i="12"/>
  <c r="Q50" i="12" s="1"/>
  <c r="F49" i="12"/>
  <c r="Q49" i="12" s="1"/>
  <c r="F48" i="12"/>
  <c r="Q48" i="12" s="1"/>
  <c r="F47" i="12"/>
  <c r="F46" i="12"/>
  <c r="Q46" i="12" s="1"/>
  <c r="F45" i="12"/>
  <c r="Q45" i="12" s="1"/>
  <c r="F44" i="12"/>
  <c r="Q44" i="12" s="1"/>
  <c r="F43" i="12"/>
  <c r="F42" i="12"/>
  <c r="Q42" i="12" s="1"/>
  <c r="F41" i="12"/>
  <c r="Q41" i="12" s="1"/>
  <c r="F40" i="12"/>
  <c r="Q40" i="12" s="1"/>
  <c r="F39" i="12"/>
  <c r="F36" i="12"/>
  <c r="Q36" i="12" s="1"/>
  <c r="F35" i="12"/>
  <c r="Q35" i="12" s="1"/>
  <c r="F34" i="12"/>
  <c r="Q34" i="12" s="1"/>
  <c r="F33" i="12"/>
  <c r="F32" i="12"/>
  <c r="Q32" i="12" s="1"/>
  <c r="F31" i="12"/>
  <c r="Q31" i="12" s="1"/>
  <c r="F28" i="12"/>
  <c r="Q28" i="12" s="1"/>
  <c r="F27" i="12"/>
  <c r="Q27" i="12" s="1"/>
  <c r="F26" i="12"/>
  <c r="F25" i="12"/>
  <c r="F22" i="12"/>
  <c r="Q22" i="12" s="1"/>
  <c r="F21" i="12"/>
  <c r="Q21" i="12" s="1"/>
  <c r="F20" i="12"/>
  <c r="F19" i="12"/>
  <c r="F18" i="12"/>
  <c r="Q18" i="12" s="1"/>
  <c r="F17" i="12"/>
  <c r="Q17" i="12" s="1"/>
  <c r="F16" i="12"/>
  <c r="F15" i="12"/>
  <c r="F14" i="12"/>
  <c r="Q14" i="12" s="1"/>
  <c r="F13" i="12"/>
  <c r="Q13" i="12" s="1"/>
  <c r="F12" i="12"/>
  <c r="F11" i="12"/>
  <c r="F10" i="12"/>
  <c r="F8" i="12"/>
  <c r="Q8" i="12" s="1"/>
  <c r="F7" i="12"/>
  <c r="Q7" i="12" s="1"/>
  <c r="F6" i="12"/>
  <c r="Q6" i="12" s="1"/>
  <c r="F5" i="12"/>
  <c r="Q5" i="12" s="1"/>
  <c r="F68" i="11"/>
  <c r="F67" i="11"/>
  <c r="Q67" i="11" s="1"/>
  <c r="F66" i="11"/>
  <c r="Q66" i="11" s="1"/>
  <c r="F65" i="11"/>
  <c r="Q65" i="11" s="1"/>
  <c r="F64" i="11"/>
  <c r="F63" i="11"/>
  <c r="Q63" i="11" s="1"/>
  <c r="F62" i="11"/>
  <c r="Q62" i="11" s="1"/>
  <c r="F61" i="11"/>
  <c r="Q61" i="11" s="1"/>
  <c r="F58" i="11"/>
  <c r="F57" i="11"/>
  <c r="Q57" i="11" s="1"/>
  <c r="F56" i="11"/>
  <c r="Q56" i="11" s="1"/>
  <c r="F55" i="11"/>
  <c r="Q55" i="11" s="1"/>
  <c r="F54" i="11"/>
  <c r="F53" i="11"/>
  <c r="Q53" i="11" s="1"/>
  <c r="F52" i="11"/>
  <c r="Q52" i="11" s="1"/>
  <c r="F51" i="11"/>
  <c r="Q51" i="11" s="1"/>
  <c r="F50" i="11"/>
  <c r="F49" i="11"/>
  <c r="Q49" i="11" s="1"/>
  <c r="F48" i="11"/>
  <c r="Q48" i="11" s="1"/>
  <c r="F47" i="11"/>
  <c r="Q47" i="11" s="1"/>
  <c r="F46" i="11"/>
  <c r="F45" i="11"/>
  <c r="Q45" i="11" s="1"/>
  <c r="F44" i="11"/>
  <c r="Q44" i="11" s="1"/>
  <c r="F43" i="11"/>
  <c r="Q43" i="11" s="1"/>
  <c r="F42" i="11"/>
  <c r="F41" i="11"/>
  <c r="Q41" i="11" s="1"/>
  <c r="F40" i="11"/>
  <c r="Q40" i="11" s="1"/>
  <c r="F39" i="11"/>
  <c r="Q39" i="11" s="1"/>
  <c r="F36" i="11"/>
  <c r="F35" i="11"/>
  <c r="Q35" i="11" s="1"/>
  <c r="F34" i="11"/>
  <c r="Q34" i="11" s="1"/>
  <c r="F33" i="11"/>
  <c r="Q33" i="11" s="1"/>
  <c r="F32" i="11"/>
  <c r="F31" i="11"/>
  <c r="Q31" i="11" s="1"/>
  <c r="F28" i="11"/>
  <c r="Q28" i="11" s="1"/>
  <c r="F27" i="11"/>
  <c r="Q27" i="11" s="1"/>
  <c r="F26" i="11"/>
  <c r="F25" i="11"/>
  <c r="Q25" i="11" s="1"/>
  <c r="F22" i="11"/>
  <c r="Q22" i="11" s="1"/>
  <c r="F21" i="11"/>
  <c r="Q21" i="11" s="1"/>
  <c r="F20" i="11"/>
  <c r="F19" i="11"/>
  <c r="Q19" i="11" s="1"/>
  <c r="F18" i="11"/>
  <c r="Q18" i="11" s="1"/>
  <c r="F17" i="11"/>
  <c r="Q17" i="11" s="1"/>
  <c r="F16" i="11"/>
  <c r="F15" i="11"/>
  <c r="Q15" i="11" s="1"/>
  <c r="F14" i="11"/>
  <c r="Q14" i="11" s="1"/>
  <c r="F13" i="11"/>
  <c r="Q13" i="11" s="1"/>
  <c r="F12" i="11"/>
  <c r="F11" i="11"/>
  <c r="Q11" i="11" s="1"/>
  <c r="F10" i="11"/>
  <c r="F8" i="11"/>
  <c r="Q8" i="11" s="1"/>
  <c r="F7" i="11"/>
  <c r="F6" i="11"/>
  <c r="F5" i="11"/>
  <c r="Q5" i="11" s="1"/>
  <c r="F68" i="10"/>
  <c r="Q68" i="10" s="1"/>
  <c r="F67" i="10"/>
  <c r="Q67" i="10" s="1"/>
  <c r="F66" i="10"/>
  <c r="F65" i="10"/>
  <c r="F64" i="10"/>
  <c r="Q64" i="10" s="1"/>
  <c r="F63" i="10"/>
  <c r="Q63" i="10" s="1"/>
  <c r="F62" i="10"/>
  <c r="F61" i="10"/>
  <c r="F58" i="10"/>
  <c r="Q58" i="10" s="1"/>
  <c r="F57" i="10"/>
  <c r="Q57" i="10" s="1"/>
  <c r="F56" i="10"/>
  <c r="F55" i="10"/>
  <c r="F54" i="10"/>
  <c r="Q54" i="10" s="1"/>
  <c r="F53" i="10"/>
  <c r="Q53" i="10" s="1"/>
  <c r="F52" i="10"/>
  <c r="F51" i="10"/>
  <c r="F50" i="10"/>
  <c r="Q50" i="10" s="1"/>
  <c r="F49" i="10"/>
  <c r="Q49" i="10" s="1"/>
  <c r="F48" i="10"/>
  <c r="F47" i="10"/>
  <c r="F46" i="10"/>
  <c r="Q46" i="10" s="1"/>
  <c r="F45" i="10"/>
  <c r="Q45" i="10" s="1"/>
  <c r="F44" i="10"/>
  <c r="F43" i="10"/>
  <c r="F42" i="10"/>
  <c r="Q42" i="10" s="1"/>
  <c r="F41" i="10"/>
  <c r="Q41" i="10" s="1"/>
  <c r="F40" i="10"/>
  <c r="F39" i="10"/>
  <c r="F36" i="10"/>
  <c r="Q36" i="10" s="1"/>
  <c r="F35" i="10"/>
  <c r="Q35" i="10" s="1"/>
  <c r="F34" i="10"/>
  <c r="F33" i="10"/>
  <c r="F32" i="10"/>
  <c r="Q32" i="10" s="1"/>
  <c r="F31" i="10"/>
  <c r="Q31" i="10" s="1"/>
  <c r="F28" i="10"/>
  <c r="Q28" i="10" s="1"/>
  <c r="F27" i="10"/>
  <c r="Q27" i="10" s="1"/>
  <c r="F26" i="10"/>
  <c r="Q26" i="10" s="1"/>
  <c r="F25" i="10"/>
  <c r="F22" i="10"/>
  <c r="Q22" i="10" s="1"/>
  <c r="F21" i="10"/>
  <c r="Q21" i="10" s="1"/>
  <c r="F20" i="10"/>
  <c r="Q20" i="10" s="1"/>
  <c r="F19" i="10"/>
  <c r="F18" i="10"/>
  <c r="Q18" i="10" s="1"/>
  <c r="F17" i="10"/>
  <c r="Q17" i="10" s="1"/>
  <c r="F16" i="10"/>
  <c r="Q16" i="10" s="1"/>
  <c r="F15" i="10"/>
  <c r="F14" i="10"/>
  <c r="Q14" i="10" s="1"/>
  <c r="F13" i="10"/>
  <c r="Q13" i="10" s="1"/>
  <c r="F12" i="10"/>
  <c r="Q12" i="10" s="1"/>
  <c r="F11" i="10"/>
  <c r="F8" i="10"/>
  <c r="Q8" i="10" s="1"/>
  <c r="F7" i="10"/>
  <c r="Q7" i="10" s="1"/>
  <c r="F6" i="10"/>
  <c r="Q6" i="10" s="1"/>
  <c r="F5" i="10"/>
  <c r="F68" i="9"/>
  <c r="F67" i="9"/>
  <c r="F66" i="9"/>
  <c r="Q66" i="9" s="1"/>
  <c r="F65" i="9"/>
  <c r="Q65" i="9" s="1"/>
  <c r="F64" i="9"/>
  <c r="F63" i="9"/>
  <c r="F62" i="9"/>
  <c r="Q62" i="9" s="1"/>
  <c r="F61" i="9"/>
  <c r="Q61" i="9" s="1"/>
  <c r="F58" i="9"/>
  <c r="F57" i="9"/>
  <c r="F56" i="9"/>
  <c r="Q56" i="9" s="1"/>
  <c r="F55" i="9"/>
  <c r="Q55" i="9" s="1"/>
  <c r="F54" i="9"/>
  <c r="F53" i="9"/>
  <c r="F52" i="9"/>
  <c r="Q52" i="9" s="1"/>
  <c r="F51" i="9"/>
  <c r="Q51" i="9" s="1"/>
  <c r="F50" i="9"/>
  <c r="F49" i="9"/>
  <c r="F48" i="9"/>
  <c r="Q48" i="9" s="1"/>
  <c r="F47" i="9"/>
  <c r="Q47" i="9" s="1"/>
  <c r="F46" i="9"/>
  <c r="F45" i="9"/>
  <c r="F44" i="9"/>
  <c r="Q44" i="9" s="1"/>
  <c r="F43" i="9"/>
  <c r="Q43" i="9" s="1"/>
  <c r="F42" i="9"/>
  <c r="F41" i="9"/>
  <c r="F40" i="9"/>
  <c r="Q40" i="9" s="1"/>
  <c r="F39" i="9"/>
  <c r="Q39" i="9" s="1"/>
  <c r="F36" i="9"/>
  <c r="F35" i="9"/>
  <c r="F34" i="9"/>
  <c r="Q34" i="9" s="1"/>
  <c r="F33" i="9"/>
  <c r="Q33" i="9" s="1"/>
  <c r="F32" i="9"/>
  <c r="F31" i="9"/>
  <c r="F28" i="9"/>
  <c r="Q28" i="9" s="1"/>
  <c r="F27" i="9"/>
  <c r="Q27" i="9" s="1"/>
  <c r="F26" i="9"/>
  <c r="F25" i="9"/>
  <c r="F22" i="9"/>
  <c r="Q22" i="9" s="1"/>
  <c r="F21" i="9"/>
  <c r="F20" i="9"/>
  <c r="F19" i="9"/>
  <c r="Q19" i="9" s="1"/>
  <c r="F18" i="9"/>
  <c r="Q18" i="9" s="1"/>
  <c r="F17" i="9"/>
  <c r="F16" i="9"/>
  <c r="F15" i="9"/>
  <c r="Q15" i="9" s="1"/>
  <c r="F14" i="9"/>
  <c r="Q14" i="9" s="1"/>
  <c r="F13" i="9"/>
  <c r="F12" i="9"/>
  <c r="F11" i="9"/>
  <c r="Q11" i="9" s="1"/>
  <c r="F10" i="9"/>
  <c r="F9" i="9"/>
  <c r="F8" i="9"/>
  <c r="Q8" i="9" s="1"/>
  <c r="F7" i="9"/>
  <c r="Q7" i="9" s="1"/>
  <c r="F6" i="9"/>
  <c r="Q6" i="9" s="1"/>
  <c r="F5" i="9"/>
  <c r="Q5" i="9" s="1"/>
  <c r="F68" i="8"/>
  <c r="Q68" i="8" s="1"/>
  <c r="F67" i="8"/>
  <c r="Q67" i="8" s="1"/>
  <c r="F66" i="8"/>
  <c r="F65" i="8"/>
  <c r="F64" i="8"/>
  <c r="Q64" i="8" s="1"/>
  <c r="F63" i="8"/>
  <c r="Q63" i="8" s="1"/>
  <c r="F62" i="8"/>
  <c r="F61" i="8"/>
  <c r="F58" i="8"/>
  <c r="Q58" i="8" s="1"/>
  <c r="F57" i="8"/>
  <c r="Q57" i="8" s="1"/>
  <c r="F56" i="8"/>
  <c r="F55" i="8"/>
  <c r="F54" i="8"/>
  <c r="Q54" i="8" s="1"/>
  <c r="F53" i="8"/>
  <c r="Q53" i="8" s="1"/>
  <c r="F52" i="8"/>
  <c r="F51" i="8"/>
  <c r="F50" i="8"/>
  <c r="Q50" i="8" s="1"/>
  <c r="F49" i="8"/>
  <c r="Q49" i="8" s="1"/>
  <c r="F48" i="8"/>
  <c r="F47" i="8"/>
  <c r="F46" i="8"/>
  <c r="Q46" i="8" s="1"/>
  <c r="F45" i="8"/>
  <c r="Q45" i="8" s="1"/>
  <c r="F44" i="8"/>
  <c r="F43" i="8"/>
  <c r="F42" i="8"/>
  <c r="Q42" i="8" s="1"/>
  <c r="F41" i="8"/>
  <c r="Q41" i="8" s="1"/>
  <c r="F40" i="8"/>
  <c r="F39" i="8"/>
  <c r="F36" i="8"/>
  <c r="Q36" i="8" s="1"/>
  <c r="F35" i="8"/>
  <c r="Q35" i="8" s="1"/>
  <c r="F34" i="8"/>
  <c r="F33" i="8"/>
  <c r="F32" i="8"/>
  <c r="Q32" i="8" s="1"/>
  <c r="F31" i="8"/>
  <c r="Q31" i="8" s="1"/>
  <c r="F28" i="8"/>
  <c r="F27" i="8"/>
  <c r="F26" i="8"/>
  <c r="Q26" i="8" s="1"/>
  <c r="F25" i="8"/>
  <c r="Q25" i="8" s="1"/>
  <c r="F22" i="8"/>
  <c r="F21" i="8"/>
  <c r="F20" i="8"/>
  <c r="Q20" i="8" s="1"/>
  <c r="F19" i="8"/>
  <c r="Q19" i="8" s="1"/>
  <c r="F18" i="8"/>
  <c r="F17" i="8"/>
  <c r="F16" i="8"/>
  <c r="Q16" i="8" s="1"/>
  <c r="F15" i="8"/>
  <c r="Q15" i="8" s="1"/>
  <c r="F14" i="8"/>
  <c r="F13" i="8"/>
  <c r="F12" i="8"/>
  <c r="Q12" i="8" s="1"/>
  <c r="F11" i="8"/>
  <c r="Q11" i="8" s="1"/>
  <c r="F8" i="8"/>
  <c r="F7" i="8"/>
  <c r="F6" i="8"/>
  <c r="Q6" i="8" s="1"/>
  <c r="F5" i="8"/>
  <c r="Q5" i="8" s="1"/>
  <c r="F68" i="7"/>
  <c r="F67" i="7"/>
  <c r="Q67" i="7" s="1"/>
  <c r="F66" i="7"/>
  <c r="Q66" i="7" s="1"/>
  <c r="F65" i="7"/>
  <c r="Q65" i="7" s="1"/>
  <c r="F64" i="7"/>
  <c r="F63" i="7"/>
  <c r="Q63" i="7" s="1"/>
  <c r="F62" i="7"/>
  <c r="Q62" i="7" s="1"/>
  <c r="F61" i="7"/>
  <c r="Q61" i="7" s="1"/>
  <c r="F58" i="7"/>
  <c r="F57" i="7"/>
  <c r="Q57" i="7" s="1"/>
  <c r="F56" i="7"/>
  <c r="Q56" i="7" s="1"/>
  <c r="F55" i="7"/>
  <c r="Q55" i="7" s="1"/>
  <c r="F54" i="7"/>
  <c r="F53" i="7"/>
  <c r="Q53" i="7" s="1"/>
  <c r="F52" i="7"/>
  <c r="Q52" i="7" s="1"/>
  <c r="F51" i="7"/>
  <c r="Q51" i="7" s="1"/>
  <c r="F50" i="7"/>
  <c r="F49" i="7"/>
  <c r="Q49" i="7" s="1"/>
  <c r="F48" i="7"/>
  <c r="Q48" i="7" s="1"/>
  <c r="F47" i="7"/>
  <c r="Q47" i="7" s="1"/>
  <c r="F46" i="7"/>
  <c r="F45" i="7"/>
  <c r="Q45" i="7" s="1"/>
  <c r="F44" i="7"/>
  <c r="Q44" i="7" s="1"/>
  <c r="F43" i="7"/>
  <c r="Q43" i="7" s="1"/>
  <c r="F42" i="7"/>
  <c r="F41" i="7"/>
  <c r="Q41" i="7" s="1"/>
  <c r="F40" i="7"/>
  <c r="Q40" i="7" s="1"/>
  <c r="F39" i="7"/>
  <c r="Q39" i="7" s="1"/>
  <c r="F36" i="7"/>
  <c r="F35" i="7"/>
  <c r="Q35" i="7" s="1"/>
  <c r="F34" i="7"/>
  <c r="Q34" i="7" s="1"/>
  <c r="F33" i="7"/>
  <c r="Q33" i="7" s="1"/>
  <c r="F32" i="7"/>
  <c r="F31" i="7"/>
  <c r="Q31" i="7" s="1"/>
  <c r="F28" i="7"/>
  <c r="Q28" i="7" s="1"/>
  <c r="F27" i="7"/>
  <c r="Q27" i="7" s="1"/>
  <c r="F26" i="7"/>
  <c r="F25" i="7"/>
  <c r="Q25" i="7" s="1"/>
  <c r="F22" i="7"/>
  <c r="Q22" i="7" s="1"/>
  <c r="F21" i="7"/>
  <c r="Q21" i="7" s="1"/>
  <c r="F20" i="7"/>
  <c r="F19" i="7"/>
  <c r="Q19" i="7" s="1"/>
  <c r="F18" i="7"/>
  <c r="Q18" i="7" s="1"/>
  <c r="F17" i="7"/>
  <c r="Q17" i="7" s="1"/>
  <c r="F16" i="7"/>
  <c r="F15" i="7"/>
  <c r="Q15" i="7" s="1"/>
  <c r="F14" i="7"/>
  <c r="Q14" i="7" s="1"/>
  <c r="F13" i="7"/>
  <c r="Q13" i="7" s="1"/>
  <c r="F12" i="7"/>
  <c r="F11" i="7"/>
  <c r="Q11" i="7" s="1"/>
  <c r="F8" i="7"/>
  <c r="Q8" i="7" s="1"/>
  <c r="F7" i="7"/>
  <c r="Q7" i="7" s="1"/>
  <c r="F6" i="7"/>
  <c r="Q6" i="7" s="1"/>
  <c r="F5" i="7"/>
  <c r="Q5" i="7" s="1"/>
  <c r="F68" i="6"/>
  <c r="Q68" i="6" s="1"/>
  <c r="F67" i="6"/>
  <c r="F66" i="6"/>
  <c r="F65" i="6"/>
  <c r="F64" i="6"/>
  <c r="Q64" i="6" s="1"/>
  <c r="F63" i="6"/>
  <c r="F62" i="6"/>
  <c r="F61" i="6"/>
  <c r="F58" i="6"/>
  <c r="Q58" i="6" s="1"/>
  <c r="F57" i="6"/>
  <c r="F56" i="6"/>
  <c r="F55" i="6"/>
  <c r="F54" i="6"/>
  <c r="Q54" i="6" s="1"/>
  <c r="F53" i="6"/>
  <c r="F52" i="6"/>
  <c r="F51" i="6"/>
  <c r="F50" i="6"/>
  <c r="Q50" i="6" s="1"/>
  <c r="F49" i="6"/>
  <c r="F48" i="6"/>
  <c r="F47" i="6"/>
  <c r="F46" i="6"/>
  <c r="Q46" i="6" s="1"/>
  <c r="F45" i="6"/>
  <c r="F44" i="6"/>
  <c r="F43" i="6"/>
  <c r="F42" i="6"/>
  <c r="Q42" i="6" s="1"/>
  <c r="F41" i="6"/>
  <c r="F40" i="6"/>
  <c r="F39" i="6"/>
  <c r="F36" i="6"/>
  <c r="Q36" i="6" s="1"/>
  <c r="F35" i="6"/>
  <c r="F34" i="6"/>
  <c r="F33" i="6"/>
  <c r="F32" i="6"/>
  <c r="Q32" i="6" s="1"/>
  <c r="F31" i="6"/>
  <c r="F28" i="6"/>
  <c r="Q28" i="6" s="1"/>
  <c r="F27" i="6"/>
  <c r="F26" i="6"/>
  <c r="Q26" i="6" s="1"/>
  <c r="F25" i="6"/>
  <c r="F22" i="6"/>
  <c r="Q22" i="6" s="1"/>
  <c r="F21" i="6"/>
  <c r="F20" i="6"/>
  <c r="Q20" i="6" s="1"/>
  <c r="F19" i="6"/>
  <c r="F18" i="6"/>
  <c r="Q18" i="6" s="1"/>
  <c r="F17" i="6"/>
  <c r="F16" i="6"/>
  <c r="Q16" i="6" s="1"/>
  <c r="F15" i="6"/>
  <c r="F14" i="6"/>
  <c r="Q14" i="6" s="1"/>
  <c r="F13" i="6"/>
  <c r="F12" i="6"/>
  <c r="Q12" i="6" s="1"/>
  <c r="F11" i="6"/>
  <c r="F8" i="6"/>
  <c r="Q8" i="6" s="1"/>
  <c r="F7" i="6"/>
  <c r="Q6" i="6"/>
  <c r="F5" i="6"/>
  <c r="F68" i="5"/>
  <c r="F67" i="5"/>
  <c r="Q67" i="5" s="1"/>
  <c r="F66" i="5"/>
  <c r="Q66" i="5" s="1"/>
  <c r="F65" i="5"/>
  <c r="Q65" i="5" s="1"/>
  <c r="F64" i="5"/>
  <c r="F63" i="5"/>
  <c r="Q63" i="5" s="1"/>
  <c r="F62" i="5"/>
  <c r="Q62" i="5" s="1"/>
  <c r="F61" i="5"/>
  <c r="Q61" i="5" s="1"/>
  <c r="F58" i="5"/>
  <c r="F57" i="5"/>
  <c r="Q57" i="5" s="1"/>
  <c r="F56" i="5"/>
  <c r="Q56" i="5" s="1"/>
  <c r="F55" i="5"/>
  <c r="Q55" i="5" s="1"/>
  <c r="F54" i="5"/>
  <c r="F53" i="5"/>
  <c r="Q53" i="5" s="1"/>
  <c r="F52" i="5"/>
  <c r="Q52" i="5" s="1"/>
  <c r="F51" i="5"/>
  <c r="Q51" i="5" s="1"/>
  <c r="F50" i="5"/>
  <c r="F49" i="5"/>
  <c r="Q49" i="5" s="1"/>
  <c r="F48" i="5"/>
  <c r="Q48" i="5" s="1"/>
  <c r="F47" i="5"/>
  <c r="Q47" i="5" s="1"/>
  <c r="F46" i="5"/>
  <c r="F45" i="5"/>
  <c r="Q45" i="5" s="1"/>
  <c r="F44" i="5"/>
  <c r="Q44" i="5" s="1"/>
  <c r="F43" i="5"/>
  <c r="Q43" i="5" s="1"/>
  <c r="F42" i="5"/>
  <c r="F41" i="5"/>
  <c r="Q41" i="5" s="1"/>
  <c r="F40" i="5"/>
  <c r="Q40" i="5" s="1"/>
  <c r="F39" i="5"/>
  <c r="Q39" i="5" s="1"/>
  <c r="F36" i="5"/>
  <c r="F35" i="5"/>
  <c r="Q35" i="5" s="1"/>
  <c r="F34" i="5"/>
  <c r="Q34" i="5" s="1"/>
  <c r="F33" i="5"/>
  <c r="Q33" i="5" s="1"/>
  <c r="F32" i="5"/>
  <c r="F31" i="5"/>
  <c r="Q31" i="5" s="1"/>
  <c r="F28" i="5"/>
  <c r="Q28" i="5" s="1"/>
  <c r="F27" i="5"/>
  <c r="Q27" i="5" s="1"/>
  <c r="F26" i="5"/>
  <c r="F25" i="5"/>
  <c r="Q25" i="5" s="1"/>
  <c r="F22" i="5"/>
  <c r="Q22" i="5" s="1"/>
  <c r="F21" i="5"/>
  <c r="Q21" i="5" s="1"/>
  <c r="F20" i="5"/>
  <c r="F19" i="5"/>
  <c r="Q19" i="5" s="1"/>
  <c r="F18" i="5"/>
  <c r="Q18" i="5" s="1"/>
  <c r="F17" i="5"/>
  <c r="Q17" i="5" s="1"/>
  <c r="F16" i="5"/>
  <c r="F15" i="5"/>
  <c r="Q15" i="5" s="1"/>
  <c r="F14" i="5"/>
  <c r="Q14" i="5" s="1"/>
  <c r="F13" i="5"/>
  <c r="Q13" i="5" s="1"/>
  <c r="F12" i="5"/>
  <c r="F11" i="5"/>
  <c r="Q11" i="5" s="1"/>
  <c r="F8" i="5"/>
  <c r="Q8" i="5" s="1"/>
  <c r="F7" i="5"/>
  <c r="Q7" i="5" s="1"/>
  <c r="F6" i="5"/>
  <c r="Q6" i="5" s="1"/>
  <c r="F5" i="5"/>
  <c r="Q5" i="5" s="1"/>
  <c r="F68" i="4"/>
  <c r="F67" i="4"/>
  <c r="F66" i="4"/>
  <c r="Q66" i="4" s="1"/>
  <c r="F65" i="4"/>
  <c r="Q65" i="4" s="1"/>
  <c r="F64" i="4"/>
  <c r="F63" i="4"/>
  <c r="F62" i="4"/>
  <c r="Q62" i="4" s="1"/>
  <c r="F61" i="4"/>
  <c r="Q61" i="4" s="1"/>
  <c r="F58" i="4"/>
  <c r="F57" i="4"/>
  <c r="F56" i="4"/>
  <c r="Q56" i="4" s="1"/>
  <c r="F55" i="4"/>
  <c r="Q55" i="4" s="1"/>
  <c r="F54" i="4"/>
  <c r="F53" i="4"/>
  <c r="F52" i="4"/>
  <c r="Q52" i="4" s="1"/>
  <c r="F51" i="4"/>
  <c r="Q51" i="4" s="1"/>
  <c r="F50" i="4"/>
  <c r="F49" i="4"/>
  <c r="F48" i="4"/>
  <c r="Q48" i="4" s="1"/>
  <c r="F47" i="4"/>
  <c r="Q47" i="4" s="1"/>
  <c r="F46" i="4"/>
  <c r="F45" i="4"/>
  <c r="F44" i="4"/>
  <c r="Q44" i="4" s="1"/>
  <c r="F43" i="4"/>
  <c r="Q43" i="4" s="1"/>
  <c r="F42" i="4"/>
  <c r="F41" i="4"/>
  <c r="F40" i="4"/>
  <c r="Q40" i="4" s="1"/>
  <c r="F39" i="4"/>
  <c r="Q39" i="4" s="1"/>
  <c r="F36" i="4"/>
  <c r="F35" i="4"/>
  <c r="F34" i="4"/>
  <c r="Q34" i="4" s="1"/>
  <c r="F33" i="4"/>
  <c r="Q33" i="4" s="1"/>
  <c r="F32" i="4"/>
  <c r="F31" i="4"/>
  <c r="F28" i="4"/>
  <c r="F27" i="4"/>
  <c r="F26" i="4"/>
  <c r="Q26" i="4" s="1"/>
  <c r="F25" i="4"/>
  <c r="Q25" i="4" s="1"/>
  <c r="F22" i="4"/>
  <c r="Q22" i="4" s="1"/>
  <c r="F21" i="4"/>
  <c r="Q21" i="4" s="1"/>
  <c r="F20" i="4"/>
  <c r="F19" i="4"/>
  <c r="F18" i="4"/>
  <c r="Q18" i="4" s="1"/>
  <c r="F17" i="4"/>
  <c r="Q17" i="4" s="1"/>
  <c r="F16" i="4"/>
  <c r="F15" i="4"/>
  <c r="F14" i="4"/>
  <c r="Q14" i="4" s="1"/>
  <c r="F13" i="4"/>
  <c r="Q13" i="4" s="1"/>
  <c r="F12" i="4"/>
  <c r="F11" i="4"/>
  <c r="F8" i="4"/>
  <c r="Q8" i="4" s="1"/>
  <c r="F7" i="4"/>
  <c r="Q7" i="4" s="1"/>
  <c r="F6" i="4"/>
  <c r="F5" i="4"/>
  <c r="F68" i="3"/>
  <c r="Q68" i="3" s="1"/>
  <c r="F67" i="3"/>
  <c r="Q67" i="3" s="1"/>
  <c r="F66" i="3"/>
  <c r="Q66" i="3" s="1"/>
  <c r="F65" i="3"/>
  <c r="Q65" i="3" s="1"/>
  <c r="F64" i="3"/>
  <c r="Q64" i="3" s="1"/>
  <c r="F63" i="3"/>
  <c r="Q63" i="3" s="1"/>
  <c r="F62" i="3"/>
  <c r="Q62" i="3" s="1"/>
  <c r="F61" i="3"/>
  <c r="Q61" i="3" s="1"/>
  <c r="F58" i="3"/>
  <c r="Q58" i="3" s="1"/>
  <c r="F57" i="3"/>
  <c r="Q57" i="3" s="1"/>
  <c r="F56" i="3"/>
  <c r="Q56" i="3" s="1"/>
  <c r="F55" i="3"/>
  <c r="Q55" i="3" s="1"/>
  <c r="F54" i="3"/>
  <c r="Q54" i="3" s="1"/>
  <c r="F53" i="3"/>
  <c r="Q53" i="3" s="1"/>
  <c r="F52" i="3"/>
  <c r="Q52" i="3" s="1"/>
  <c r="F51" i="3"/>
  <c r="Q51" i="3" s="1"/>
  <c r="F50" i="3"/>
  <c r="Q50" i="3" s="1"/>
  <c r="F49" i="3"/>
  <c r="Q49" i="3" s="1"/>
  <c r="F48" i="3"/>
  <c r="Q48" i="3" s="1"/>
  <c r="F47" i="3"/>
  <c r="Q47" i="3" s="1"/>
  <c r="F46" i="3"/>
  <c r="Q46" i="3" s="1"/>
  <c r="F45" i="3"/>
  <c r="Q45" i="3" s="1"/>
  <c r="F44" i="3"/>
  <c r="Q44" i="3" s="1"/>
  <c r="F43" i="3"/>
  <c r="Q43" i="3" s="1"/>
  <c r="F42" i="3"/>
  <c r="Q42" i="3" s="1"/>
  <c r="F41" i="3"/>
  <c r="Q41" i="3" s="1"/>
  <c r="F40" i="3"/>
  <c r="Q40" i="3" s="1"/>
  <c r="F39" i="3"/>
  <c r="Q39" i="3" s="1"/>
  <c r="F36" i="3"/>
  <c r="Q36" i="3" s="1"/>
  <c r="F35" i="3"/>
  <c r="Q35" i="3" s="1"/>
  <c r="F34" i="3"/>
  <c r="Q34" i="3" s="1"/>
  <c r="F33" i="3"/>
  <c r="Q33" i="3" s="1"/>
  <c r="F32" i="3"/>
  <c r="Q32" i="3" s="1"/>
  <c r="F31" i="3"/>
  <c r="Q31" i="3" s="1"/>
  <c r="F28" i="3"/>
  <c r="Q28" i="3" s="1"/>
  <c r="F27" i="3"/>
  <c r="F26" i="3"/>
  <c r="F25" i="3"/>
  <c r="Q25" i="3" s="1"/>
  <c r="F22" i="3"/>
  <c r="Q22" i="3" s="1"/>
  <c r="F21" i="3"/>
  <c r="Q21" i="3" s="1"/>
  <c r="F20" i="3"/>
  <c r="Q20" i="3" s="1"/>
  <c r="F19" i="3"/>
  <c r="Q19" i="3" s="1"/>
  <c r="F18" i="3"/>
  <c r="Q18" i="3" s="1"/>
  <c r="F17" i="3"/>
  <c r="Q17" i="3" s="1"/>
  <c r="F16" i="3"/>
  <c r="Q16" i="3" s="1"/>
  <c r="F15" i="3"/>
  <c r="Q15" i="3" s="1"/>
  <c r="F14" i="3"/>
  <c r="Q14" i="3" s="1"/>
  <c r="F13" i="3"/>
  <c r="Q13" i="3" s="1"/>
  <c r="F12" i="3"/>
  <c r="Q12" i="3" s="1"/>
  <c r="F11" i="3"/>
  <c r="Q11" i="3" s="1"/>
  <c r="F9" i="3"/>
  <c r="Q9" i="3" s="1"/>
  <c r="F8" i="3"/>
  <c r="F7" i="3"/>
  <c r="Q7" i="3" s="1"/>
  <c r="F6" i="3"/>
  <c r="F5" i="3"/>
  <c r="Q5" i="3" s="1"/>
  <c r="F68" i="2"/>
  <c r="Q68" i="2" s="1"/>
  <c r="F67" i="2"/>
  <c r="Q67" i="2" s="1"/>
  <c r="F66" i="2"/>
  <c r="Q66" i="2" s="1"/>
  <c r="F65" i="2"/>
  <c r="Q65" i="2" s="1"/>
  <c r="F64" i="2"/>
  <c r="Q64" i="2" s="1"/>
  <c r="F63" i="2"/>
  <c r="Q63" i="2" s="1"/>
  <c r="F62" i="2"/>
  <c r="Q62" i="2" s="1"/>
  <c r="F61" i="2"/>
  <c r="Q61" i="2" s="1"/>
  <c r="F58" i="2"/>
  <c r="Q58" i="2" s="1"/>
  <c r="F57" i="2"/>
  <c r="Q57" i="2" s="1"/>
  <c r="F56" i="2"/>
  <c r="Q56" i="2" s="1"/>
  <c r="F55" i="2"/>
  <c r="Q55" i="2" s="1"/>
  <c r="F54" i="2"/>
  <c r="Q54" i="2" s="1"/>
  <c r="F53" i="2"/>
  <c r="Q53" i="2" s="1"/>
  <c r="F52" i="2"/>
  <c r="Q52" i="2" s="1"/>
  <c r="F51" i="2"/>
  <c r="Q51" i="2" s="1"/>
  <c r="F50" i="2"/>
  <c r="Q50" i="2" s="1"/>
  <c r="F49" i="2"/>
  <c r="Q49" i="2" s="1"/>
  <c r="F48" i="2"/>
  <c r="Q48" i="2" s="1"/>
  <c r="F47" i="2"/>
  <c r="Q47" i="2" s="1"/>
  <c r="F46" i="2"/>
  <c r="Q46" i="2" s="1"/>
  <c r="F45" i="2"/>
  <c r="Q45" i="2" s="1"/>
  <c r="F44" i="2"/>
  <c r="Q44" i="2" s="1"/>
  <c r="F43" i="2"/>
  <c r="Q43" i="2" s="1"/>
  <c r="F42" i="2"/>
  <c r="Q42" i="2" s="1"/>
  <c r="F41" i="2"/>
  <c r="Q41" i="2" s="1"/>
  <c r="F40" i="2"/>
  <c r="Q40" i="2" s="1"/>
  <c r="F39" i="2"/>
  <c r="Q39" i="2" s="1"/>
  <c r="F36" i="2"/>
  <c r="Q36" i="2" s="1"/>
  <c r="F35" i="2"/>
  <c r="Q35" i="2" s="1"/>
  <c r="F34" i="2"/>
  <c r="Q34" i="2" s="1"/>
  <c r="F33" i="2"/>
  <c r="Q33" i="2" s="1"/>
  <c r="F32" i="2"/>
  <c r="Q32" i="2" s="1"/>
  <c r="F31" i="2"/>
  <c r="Q31" i="2" s="1"/>
  <c r="F28" i="2"/>
  <c r="Q28" i="2" s="1"/>
  <c r="F27" i="2"/>
  <c r="Q27" i="2" s="1"/>
  <c r="F26" i="2"/>
  <c r="F25" i="2"/>
  <c r="F22" i="2"/>
  <c r="Q22" i="2" s="1"/>
  <c r="F21" i="2"/>
  <c r="Q21" i="2" s="1"/>
  <c r="F20" i="2"/>
  <c r="Q20" i="2" s="1"/>
  <c r="F19" i="2"/>
  <c r="Q19" i="2" s="1"/>
  <c r="F18" i="2"/>
  <c r="Q18" i="2" s="1"/>
  <c r="F17" i="2"/>
  <c r="Q17" i="2" s="1"/>
  <c r="F16" i="2"/>
  <c r="Q16" i="2" s="1"/>
  <c r="F15" i="2"/>
  <c r="Q15" i="2" s="1"/>
  <c r="F14" i="2"/>
  <c r="Q14" i="2" s="1"/>
  <c r="F13" i="2"/>
  <c r="Q13" i="2" s="1"/>
  <c r="F12" i="2"/>
  <c r="Q12" i="2" s="1"/>
  <c r="F11" i="2"/>
  <c r="Q11" i="2" s="1"/>
  <c r="F8" i="2"/>
  <c r="Q8" i="2" s="1"/>
  <c r="F7" i="2"/>
  <c r="Q7" i="2" s="1"/>
  <c r="F6" i="2"/>
  <c r="Q6" i="2" s="1"/>
  <c r="F5" i="2"/>
  <c r="Q5" i="2" s="1"/>
  <c r="F141" i="1"/>
  <c r="Q141" i="1" s="1"/>
  <c r="F138" i="1"/>
  <c r="F137" i="1"/>
  <c r="F136" i="1"/>
  <c r="Q136" i="1" s="1"/>
  <c r="F135" i="1"/>
  <c r="Q135" i="1" s="1"/>
  <c r="F134" i="1"/>
  <c r="Q134" i="1" s="1"/>
  <c r="F133" i="1"/>
  <c r="Q133" i="1" s="1"/>
  <c r="F132" i="1"/>
  <c r="Q132" i="1" s="1"/>
  <c r="F131" i="1"/>
  <c r="Q131" i="1" s="1"/>
  <c r="F130" i="1"/>
  <c r="Q130" i="1" s="1"/>
  <c r="F127" i="1"/>
  <c r="Q127" i="1" s="1"/>
  <c r="F126" i="1"/>
  <c r="Q126" i="1" s="1"/>
  <c r="F125" i="1"/>
  <c r="Q125" i="1" s="1"/>
  <c r="F124" i="1"/>
  <c r="Q124" i="1" s="1"/>
  <c r="F123" i="1"/>
  <c r="Q123" i="1" s="1"/>
  <c r="F122" i="1"/>
  <c r="Q122" i="1" s="1"/>
  <c r="F121" i="1"/>
  <c r="Q121" i="1" s="1"/>
  <c r="F120" i="1"/>
  <c r="Q120" i="1" s="1"/>
  <c r="F119" i="1"/>
  <c r="Q119" i="1" s="1"/>
  <c r="F118" i="1"/>
  <c r="Q118" i="1" s="1"/>
  <c r="F117" i="1"/>
  <c r="F116" i="1"/>
  <c r="Q116" i="1" s="1"/>
  <c r="F115" i="1"/>
  <c r="Q115" i="1" s="1"/>
  <c r="F114" i="1"/>
  <c r="Q114" i="1" s="1"/>
  <c r="F113" i="1"/>
  <c r="Q113" i="1" s="1"/>
  <c r="F112" i="1"/>
  <c r="Q112" i="1" s="1"/>
  <c r="F111" i="1"/>
  <c r="Q111" i="1" s="1"/>
  <c r="F110" i="1"/>
  <c r="Q110" i="1" s="1"/>
  <c r="F109" i="1"/>
  <c r="Q109" i="1" s="1"/>
  <c r="F108" i="1"/>
  <c r="Q108" i="1" s="1"/>
  <c r="F107" i="1"/>
  <c r="Q107" i="1" s="1"/>
  <c r="F106" i="1"/>
  <c r="Q106" i="1" s="1"/>
  <c r="F103" i="1"/>
  <c r="Q103" i="1" s="1"/>
  <c r="F102" i="1"/>
  <c r="Q102" i="1" s="1"/>
  <c r="F101" i="1"/>
  <c r="Q101" i="1" s="1"/>
  <c r="F100" i="1"/>
  <c r="Q100" i="1" s="1"/>
  <c r="F99" i="1"/>
  <c r="Q99" i="1" s="1"/>
  <c r="F98" i="1"/>
  <c r="Q98" i="1" s="1"/>
  <c r="F97" i="1"/>
  <c r="Q97" i="1" s="1"/>
  <c r="F96" i="1"/>
  <c r="Q96" i="1" s="1"/>
  <c r="F95" i="1"/>
  <c r="Q95" i="1" s="1"/>
  <c r="F94" i="1"/>
  <c r="Q94" i="1" s="1"/>
  <c r="F93" i="1"/>
  <c r="Q93" i="1" s="1"/>
  <c r="F92" i="1"/>
  <c r="Q92" i="1" s="1"/>
  <c r="F91" i="1"/>
  <c r="Q91" i="1" s="1"/>
  <c r="F90" i="1"/>
  <c r="Q90" i="1" s="1"/>
  <c r="F89" i="1"/>
  <c r="F87" i="1"/>
  <c r="Q87" i="1" s="1"/>
  <c r="F86" i="1"/>
  <c r="F85" i="1"/>
  <c r="F84" i="1"/>
  <c r="Q84" i="1" s="1"/>
  <c r="F83" i="1"/>
  <c r="Q83" i="1" s="1"/>
  <c r="F82" i="1"/>
  <c r="F81" i="1"/>
  <c r="F80" i="1"/>
  <c r="Q80" i="1" s="1"/>
  <c r="F79" i="1"/>
  <c r="Q79" i="1" s="1"/>
  <c r="F78" i="1"/>
  <c r="F68" i="1"/>
  <c r="Q68" i="1" s="1"/>
  <c r="F67" i="1"/>
  <c r="Q67" i="1" s="1"/>
  <c r="F66" i="1"/>
  <c r="F65" i="1"/>
  <c r="F64" i="1"/>
  <c r="Q64" i="1" s="1"/>
  <c r="F63" i="1"/>
  <c r="Q63" i="1" s="1"/>
  <c r="F62" i="1"/>
  <c r="F61" i="1"/>
  <c r="F58" i="1"/>
  <c r="Q58" i="1" s="1"/>
  <c r="F57" i="1"/>
  <c r="Q57" i="1" s="1"/>
  <c r="F56" i="1"/>
  <c r="F55" i="1"/>
  <c r="F54" i="1"/>
  <c r="Q54" i="1" s="1"/>
  <c r="F53" i="1"/>
  <c r="Q53" i="1" s="1"/>
  <c r="F52" i="1"/>
  <c r="F51" i="1"/>
  <c r="F50" i="1"/>
  <c r="Q50" i="1" s="1"/>
  <c r="F49" i="1"/>
  <c r="Q49" i="1" s="1"/>
  <c r="F48" i="1"/>
  <c r="F47" i="1"/>
  <c r="F46" i="1"/>
  <c r="Q46" i="1" s="1"/>
  <c r="F45" i="1"/>
  <c r="Q45" i="1" s="1"/>
  <c r="F44" i="1"/>
  <c r="F43" i="1"/>
  <c r="F42" i="1"/>
  <c r="Q42" i="1" s="1"/>
  <c r="F41" i="1"/>
  <c r="Q41" i="1" s="1"/>
  <c r="F40" i="1"/>
  <c r="F39" i="1"/>
  <c r="F36" i="1"/>
  <c r="Q36" i="1" s="1"/>
  <c r="F35" i="1"/>
  <c r="Q35" i="1" s="1"/>
  <c r="F34" i="1"/>
  <c r="F33" i="1"/>
  <c r="F32" i="1"/>
  <c r="Q32" i="1" s="1"/>
  <c r="F31" i="1"/>
  <c r="Q31" i="1" s="1"/>
  <c r="F28" i="1"/>
  <c r="F27" i="1"/>
  <c r="Q27" i="1" s="1"/>
  <c r="F26" i="1"/>
  <c r="Q26" i="1" s="1"/>
  <c r="F25" i="1"/>
  <c r="F22" i="1"/>
  <c r="F21" i="1"/>
  <c r="Q21" i="1" s="1"/>
  <c r="F20" i="1"/>
  <c r="F19" i="1"/>
  <c r="F18" i="1"/>
  <c r="F17" i="1"/>
  <c r="Q17" i="1" s="1"/>
  <c r="F16" i="1"/>
  <c r="Q16" i="1" s="1"/>
  <c r="F15" i="1"/>
  <c r="F14" i="1"/>
  <c r="F13" i="1"/>
  <c r="Q13" i="1" s="1"/>
  <c r="F12" i="1"/>
  <c r="F11" i="1"/>
  <c r="F8" i="1"/>
  <c r="F7" i="1"/>
  <c r="Q7" i="1" s="1"/>
  <c r="F6" i="1"/>
  <c r="Q6" i="1" s="1"/>
  <c r="F5" i="1"/>
  <c r="J5" i="13"/>
  <c r="P78" i="13"/>
  <c r="P79" i="13"/>
  <c r="P86" i="13"/>
  <c r="P87" i="13"/>
  <c r="P90" i="13"/>
  <c r="P91" i="13"/>
  <c r="P94" i="13"/>
  <c r="P95" i="13"/>
  <c r="P96" i="13"/>
  <c r="P97" i="13"/>
  <c r="P102" i="13"/>
  <c r="P103" i="13"/>
  <c r="P108" i="13"/>
  <c r="P109" i="13"/>
  <c r="P110" i="13"/>
  <c r="P111" i="13"/>
  <c r="P112" i="13"/>
  <c r="P113" i="13"/>
  <c r="P114" i="13"/>
  <c r="P115" i="13"/>
  <c r="P118" i="13"/>
  <c r="P119" i="13"/>
  <c r="P120" i="13"/>
  <c r="P121" i="13"/>
  <c r="P122" i="13"/>
  <c r="P123" i="13"/>
  <c r="P124" i="13"/>
  <c r="P125" i="13"/>
  <c r="P126" i="13"/>
  <c r="P127" i="13"/>
  <c r="P130" i="13"/>
  <c r="P131" i="13"/>
  <c r="P132" i="13"/>
  <c r="P133" i="13"/>
  <c r="P136" i="13"/>
  <c r="P5" i="13"/>
  <c r="P6" i="13"/>
  <c r="P7" i="13"/>
  <c r="P8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5" i="13"/>
  <c r="P26" i="13"/>
  <c r="P27" i="13"/>
  <c r="P28" i="13"/>
  <c r="P31" i="13"/>
  <c r="P32" i="13"/>
  <c r="P33" i="13"/>
  <c r="P34" i="13"/>
  <c r="P39" i="13"/>
  <c r="P40" i="13"/>
  <c r="P41" i="13"/>
  <c r="P42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61" i="13"/>
  <c r="P62" i="13"/>
  <c r="P63" i="13"/>
  <c r="P64" i="13"/>
  <c r="P65" i="13"/>
  <c r="P66" i="13"/>
  <c r="P67" i="13"/>
  <c r="P68" i="13"/>
  <c r="O136" i="13"/>
  <c r="N136" i="13"/>
  <c r="M136" i="13"/>
  <c r="L136" i="13"/>
  <c r="K136" i="13"/>
  <c r="I136" i="13"/>
  <c r="H136" i="13"/>
  <c r="G136" i="13"/>
  <c r="E136" i="13"/>
  <c r="D136" i="13"/>
  <c r="O133" i="13"/>
  <c r="N133" i="13"/>
  <c r="M133" i="13"/>
  <c r="L133" i="13"/>
  <c r="K133" i="13"/>
  <c r="I133" i="13"/>
  <c r="H133" i="13"/>
  <c r="G133" i="13"/>
  <c r="E133" i="13"/>
  <c r="D133" i="13"/>
  <c r="O132" i="13"/>
  <c r="N132" i="13"/>
  <c r="M132" i="13"/>
  <c r="L132" i="13"/>
  <c r="K132" i="13"/>
  <c r="I132" i="13"/>
  <c r="H132" i="13"/>
  <c r="G132" i="13"/>
  <c r="E132" i="13"/>
  <c r="D132" i="13"/>
  <c r="O131" i="13"/>
  <c r="K131" i="13"/>
  <c r="I131" i="13"/>
  <c r="H131" i="13"/>
  <c r="G131" i="13"/>
  <c r="E131" i="13"/>
  <c r="D131" i="13"/>
  <c r="O130" i="13"/>
  <c r="K130" i="13"/>
  <c r="I130" i="13"/>
  <c r="H130" i="13"/>
  <c r="G130" i="13"/>
  <c r="E130" i="13"/>
  <c r="D130" i="13"/>
  <c r="O127" i="13"/>
  <c r="N127" i="13"/>
  <c r="M127" i="13"/>
  <c r="L127" i="13"/>
  <c r="K127" i="13"/>
  <c r="I127" i="13"/>
  <c r="H127" i="13"/>
  <c r="G127" i="13"/>
  <c r="E127" i="13"/>
  <c r="D127" i="13"/>
  <c r="O126" i="13"/>
  <c r="N126" i="13"/>
  <c r="M126" i="13"/>
  <c r="L126" i="13"/>
  <c r="K126" i="13"/>
  <c r="I126" i="13"/>
  <c r="H126" i="13"/>
  <c r="G126" i="13"/>
  <c r="E126" i="13"/>
  <c r="D126" i="13"/>
  <c r="O125" i="13"/>
  <c r="N125" i="13"/>
  <c r="M125" i="13"/>
  <c r="L125" i="13"/>
  <c r="K125" i="13"/>
  <c r="I125" i="13"/>
  <c r="H125" i="13"/>
  <c r="G125" i="13"/>
  <c r="E125" i="13"/>
  <c r="D125" i="13"/>
  <c r="O124" i="13"/>
  <c r="N124" i="13"/>
  <c r="M124" i="13"/>
  <c r="L124" i="13"/>
  <c r="K124" i="13"/>
  <c r="I124" i="13"/>
  <c r="H124" i="13"/>
  <c r="G124" i="13"/>
  <c r="E124" i="13"/>
  <c r="D124" i="13"/>
  <c r="O123" i="13"/>
  <c r="N123" i="13"/>
  <c r="M123" i="13"/>
  <c r="L123" i="13"/>
  <c r="K123" i="13"/>
  <c r="I123" i="13"/>
  <c r="H123" i="13"/>
  <c r="G123" i="13"/>
  <c r="E123" i="13"/>
  <c r="D123" i="13"/>
  <c r="O122" i="13"/>
  <c r="N122" i="13"/>
  <c r="M122" i="13"/>
  <c r="L122" i="13"/>
  <c r="K122" i="13"/>
  <c r="I122" i="13"/>
  <c r="H122" i="13"/>
  <c r="G122" i="13"/>
  <c r="E122" i="13"/>
  <c r="D122" i="13"/>
  <c r="O121" i="13"/>
  <c r="N121" i="13"/>
  <c r="M121" i="13"/>
  <c r="L121" i="13"/>
  <c r="K121" i="13"/>
  <c r="I121" i="13"/>
  <c r="H121" i="13"/>
  <c r="G121" i="13"/>
  <c r="E121" i="13"/>
  <c r="D121" i="13"/>
  <c r="O120" i="13"/>
  <c r="N120" i="13"/>
  <c r="M120" i="13"/>
  <c r="L120" i="13"/>
  <c r="K120" i="13"/>
  <c r="I120" i="13"/>
  <c r="H120" i="13"/>
  <c r="G120" i="13"/>
  <c r="E120" i="13"/>
  <c r="D120" i="13"/>
  <c r="O119" i="13"/>
  <c r="N119" i="13"/>
  <c r="M119" i="13"/>
  <c r="L119" i="13"/>
  <c r="K119" i="13"/>
  <c r="I119" i="13"/>
  <c r="H119" i="13"/>
  <c r="G119" i="13"/>
  <c r="E119" i="13"/>
  <c r="D119" i="13"/>
  <c r="O118" i="13"/>
  <c r="N118" i="13"/>
  <c r="M118" i="13"/>
  <c r="L118" i="13"/>
  <c r="K118" i="13"/>
  <c r="I118" i="13"/>
  <c r="H118" i="13"/>
  <c r="G118" i="13"/>
  <c r="E118" i="13"/>
  <c r="D118" i="13"/>
  <c r="O115" i="13"/>
  <c r="N115" i="13"/>
  <c r="M115" i="13"/>
  <c r="L115" i="13"/>
  <c r="K115" i="13"/>
  <c r="I115" i="13"/>
  <c r="H115" i="13"/>
  <c r="G115" i="13"/>
  <c r="E115" i="13"/>
  <c r="D115" i="13"/>
  <c r="O114" i="13"/>
  <c r="N114" i="13"/>
  <c r="M114" i="13"/>
  <c r="L114" i="13"/>
  <c r="K114" i="13"/>
  <c r="I114" i="13"/>
  <c r="H114" i="13"/>
  <c r="G114" i="13"/>
  <c r="E114" i="13"/>
  <c r="D114" i="13"/>
  <c r="O113" i="13"/>
  <c r="N113" i="13"/>
  <c r="M113" i="13"/>
  <c r="L113" i="13"/>
  <c r="K113" i="13"/>
  <c r="I113" i="13"/>
  <c r="H113" i="13"/>
  <c r="G113" i="13"/>
  <c r="E113" i="13"/>
  <c r="D113" i="13"/>
  <c r="O112" i="13"/>
  <c r="N112" i="13"/>
  <c r="M112" i="13"/>
  <c r="L112" i="13"/>
  <c r="K112" i="13"/>
  <c r="I112" i="13"/>
  <c r="H112" i="13"/>
  <c r="G112" i="13"/>
  <c r="E112" i="13"/>
  <c r="D112" i="13"/>
  <c r="O111" i="13"/>
  <c r="N111" i="13"/>
  <c r="M111" i="13"/>
  <c r="L111" i="13"/>
  <c r="K111" i="13"/>
  <c r="I111" i="13"/>
  <c r="H111" i="13"/>
  <c r="G111" i="13"/>
  <c r="E111" i="13"/>
  <c r="D111" i="13"/>
  <c r="O110" i="13"/>
  <c r="N110" i="13"/>
  <c r="M110" i="13"/>
  <c r="L110" i="13"/>
  <c r="K110" i="13"/>
  <c r="I110" i="13"/>
  <c r="H110" i="13"/>
  <c r="G110" i="13"/>
  <c r="E110" i="13"/>
  <c r="D110" i="13"/>
  <c r="O109" i="13"/>
  <c r="N109" i="13"/>
  <c r="M109" i="13"/>
  <c r="L109" i="13"/>
  <c r="K109" i="13"/>
  <c r="I109" i="13"/>
  <c r="H109" i="13"/>
  <c r="G109" i="13"/>
  <c r="E109" i="13"/>
  <c r="D109" i="13"/>
  <c r="O108" i="13"/>
  <c r="N108" i="13"/>
  <c r="M108" i="13"/>
  <c r="L108" i="13"/>
  <c r="K108" i="13"/>
  <c r="I108" i="13"/>
  <c r="H108" i="13"/>
  <c r="G108" i="13"/>
  <c r="E108" i="13"/>
  <c r="D108" i="13"/>
  <c r="O103" i="13"/>
  <c r="N103" i="13"/>
  <c r="M103" i="13"/>
  <c r="L103" i="13"/>
  <c r="K103" i="13"/>
  <c r="I103" i="13"/>
  <c r="H103" i="13"/>
  <c r="G103" i="13"/>
  <c r="E103" i="13"/>
  <c r="D103" i="13"/>
  <c r="O102" i="13"/>
  <c r="N102" i="13"/>
  <c r="M102" i="13"/>
  <c r="L102" i="13"/>
  <c r="K102" i="13"/>
  <c r="I102" i="13"/>
  <c r="H102" i="13"/>
  <c r="G102" i="13"/>
  <c r="E102" i="13"/>
  <c r="D102" i="13"/>
  <c r="O97" i="13"/>
  <c r="N97" i="13"/>
  <c r="M97" i="13"/>
  <c r="L97" i="13"/>
  <c r="K97" i="13"/>
  <c r="I97" i="13"/>
  <c r="H97" i="13"/>
  <c r="G97" i="13"/>
  <c r="E97" i="13"/>
  <c r="D97" i="13"/>
  <c r="O96" i="13"/>
  <c r="N96" i="13"/>
  <c r="M96" i="13"/>
  <c r="L96" i="13"/>
  <c r="K96" i="13"/>
  <c r="I96" i="13"/>
  <c r="H96" i="13"/>
  <c r="G96" i="13"/>
  <c r="E96" i="13"/>
  <c r="D96" i="13"/>
  <c r="O95" i="13"/>
  <c r="N95" i="13"/>
  <c r="M95" i="13"/>
  <c r="L95" i="13"/>
  <c r="K95" i="13"/>
  <c r="I95" i="13"/>
  <c r="H95" i="13"/>
  <c r="G95" i="13"/>
  <c r="E95" i="13"/>
  <c r="D95" i="13"/>
  <c r="O94" i="13"/>
  <c r="N94" i="13"/>
  <c r="M94" i="13"/>
  <c r="L94" i="13"/>
  <c r="K94" i="13"/>
  <c r="I94" i="13"/>
  <c r="H94" i="13"/>
  <c r="G94" i="13"/>
  <c r="E94" i="13"/>
  <c r="D94" i="13"/>
  <c r="O91" i="13"/>
  <c r="N91" i="13"/>
  <c r="M91" i="13"/>
  <c r="L91" i="13"/>
  <c r="K91" i="13"/>
  <c r="I91" i="13"/>
  <c r="H91" i="13"/>
  <c r="G91" i="13"/>
  <c r="E91" i="13"/>
  <c r="D91" i="13"/>
  <c r="O90" i="13"/>
  <c r="N90" i="13"/>
  <c r="M90" i="13"/>
  <c r="L90" i="13"/>
  <c r="K90" i="13"/>
  <c r="I90" i="13"/>
  <c r="H90" i="13"/>
  <c r="G90" i="13"/>
  <c r="E90" i="13"/>
  <c r="D90" i="13"/>
  <c r="O87" i="13"/>
  <c r="N87" i="13"/>
  <c r="M87" i="13"/>
  <c r="L87" i="13"/>
  <c r="K87" i="13"/>
  <c r="I87" i="13"/>
  <c r="H87" i="13"/>
  <c r="G87" i="13"/>
  <c r="E87" i="13"/>
  <c r="D87" i="13"/>
  <c r="O86" i="13"/>
  <c r="N86" i="13"/>
  <c r="M86" i="13"/>
  <c r="L86" i="13"/>
  <c r="K86" i="13"/>
  <c r="I86" i="13"/>
  <c r="H86" i="13"/>
  <c r="G86" i="13"/>
  <c r="E86" i="13"/>
  <c r="D86" i="13"/>
  <c r="O79" i="13"/>
  <c r="N79" i="13"/>
  <c r="M79" i="13"/>
  <c r="L79" i="13"/>
  <c r="K79" i="13"/>
  <c r="I79" i="13"/>
  <c r="H79" i="13"/>
  <c r="G79" i="13"/>
  <c r="E79" i="13"/>
  <c r="D79" i="13"/>
  <c r="O78" i="13"/>
  <c r="N78" i="13"/>
  <c r="M78" i="13"/>
  <c r="L78" i="13"/>
  <c r="K78" i="13"/>
  <c r="I78" i="13"/>
  <c r="H78" i="13"/>
  <c r="G78" i="13"/>
  <c r="E78" i="13"/>
  <c r="D78" i="13"/>
  <c r="O68" i="13"/>
  <c r="N68" i="13"/>
  <c r="M68" i="13"/>
  <c r="L68" i="13"/>
  <c r="K68" i="13"/>
  <c r="I68" i="13"/>
  <c r="H68" i="13"/>
  <c r="G68" i="13"/>
  <c r="E68" i="13"/>
  <c r="D68" i="13"/>
  <c r="O67" i="13"/>
  <c r="N67" i="13"/>
  <c r="M67" i="13"/>
  <c r="L67" i="13"/>
  <c r="K67" i="13"/>
  <c r="I67" i="13"/>
  <c r="H67" i="13"/>
  <c r="G67" i="13"/>
  <c r="E67" i="13"/>
  <c r="D67" i="13"/>
  <c r="O66" i="13"/>
  <c r="N66" i="13"/>
  <c r="M66" i="13"/>
  <c r="L66" i="13"/>
  <c r="K66" i="13"/>
  <c r="I66" i="13"/>
  <c r="H66" i="13"/>
  <c r="G66" i="13"/>
  <c r="E66" i="13"/>
  <c r="D66" i="13"/>
  <c r="O65" i="13"/>
  <c r="N65" i="13"/>
  <c r="M65" i="13"/>
  <c r="L65" i="13"/>
  <c r="K65" i="13"/>
  <c r="I65" i="13"/>
  <c r="H65" i="13"/>
  <c r="G65" i="13"/>
  <c r="E65" i="13"/>
  <c r="D65" i="13"/>
  <c r="O64" i="13"/>
  <c r="N64" i="13"/>
  <c r="M64" i="13"/>
  <c r="L64" i="13"/>
  <c r="K64" i="13"/>
  <c r="I64" i="13"/>
  <c r="H64" i="13"/>
  <c r="G64" i="13"/>
  <c r="E64" i="13"/>
  <c r="D64" i="13"/>
  <c r="O63" i="13"/>
  <c r="N63" i="13"/>
  <c r="M63" i="13"/>
  <c r="L63" i="13"/>
  <c r="K63" i="13"/>
  <c r="I63" i="13"/>
  <c r="H63" i="13"/>
  <c r="G63" i="13"/>
  <c r="E63" i="13"/>
  <c r="D63" i="13"/>
  <c r="O62" i="13"/>
  <c r="N62" i="13"/>
  <c r="N77" i="13" s="1"/>
  <c r="M62" i="13"/>
  <c r="L62" i="13"/>
  <c r="K62" i="13"/>
  <c r="I62" i="13"/>
  <c r="I77" i="13" s="1"/>
  <c r="H62" i="13"/>
  <c r="G62" i="13"/>
  <c r="E62" i="13"/>
  <c r="D62" i="13"/>
  <c r="D77" i="13" s="1"/>
  <c r="O61" i="13"/>
  <c r="N61" i="13"/>
  <c r="M61" i="13"/>
  <c r="M76" i="13" s="1"/>
  <c r="L61" i="13"/>
  <c r="L76" i="13" s="1"/>
  <c r="K61" i="13"/>
  <c r="I61" i="13"/>
  <c r="H61" i="13"/>
  <c r="G61" i="13"/>
  <c r="G76" i="13" s="1"/>
  <c r="E61" i="13"/>
  <c r="E76" i="13" s="1"/>
  <c r="D61" i="13"/>
  <c r="O58" i="13"/>
  <c r="N58" i="13"/>
  <c r="M58" i="13"/>
  <c r="L58" i="13"/>
  <c r="K58" i="13"/>
  <c r="I58" i="13"/>
  <c r="H58" i="13"/>
  <c r="G58" i="13"/>
  <c r="E58" i="13"/>
  <c r="D58" i="13"/>
  <c r="O57" i="13"/>
  <c r="N57" i="13"/>
  <c r="M57" i="13"/>
  <c r="L57" i="13"/>
  <c r="K57" i="13"/>
  <c r="I57" i="13"/>
  <c r="H57" i="13"/>
  <c r="G57" i="13"/>
  <c r="E57" i="13"/>
  <c r="D57" i="13"/>
  <c r="O56" i="13"/>
  <c r="O60" i="13" s="1"/>
  <c r="N56" i="13"/>
  <c r="M56" i="13"/>
  <c r="M60" i="13" s="1"/>
  <c r="L56" i="13"/>
  <c r="K56" i="13"/>
  <c r="K60" i="13" s="1"/>
  <c r="I56" i="13"/>
  <c r="I60" i="13" s="1"/>
  <c r="H56" i="13"/>
  <c r="H60" i="13" s="1"/>
  <c r="G56" i="13"/>
  <c r="G60" i="13" s="1"/>
  <c r="E56" i="13"/>
  <c r="D56" i="13"/>
  <c r="D60" i="13" s="1"/>
  <c r="O55" i="13"/>
  <c r="O59" i="13" s="1"/>
  <c r="N55" i="13"/>
  <c r="N59" i="13" s="1"/>
  <c r="M55" i="13"/>
  <c r="L55" i="13"/>
  <c r="K55" i="13"/>
  <c r="K59" i="13" s="1"/>
  <c r="I55" i="13"/>
  <c r="I59" i="13" s="1"/>
  <c r="H55" i="13"/>
  <c r="G55" i="13"/>
  <c r="E55" i="13"/>
  <c r="E59" i="13" s="1"/>
  <c r="D55" i="13"/>
  <c r="D59" i="13" s="1"/>
  <c r="O54" i="13"/>
  <c r="N54" i="13"/>
  <c r="M54" i="13"/>
  <c r="L54" i="13"/>
  <c r="K54" i="13"/>
  <c r="I54" i="13"/>
  <c r="H54" i="13"/>
  <c r="G54" i="13"/>
  <c r="E54" i="13"/>
  <c r="D54" i="13"/>
  <c r="O53" i="13"/>
  <c r="N53" i="13"/>
  <c r="M53" i="13"/>
  <c r="L53" i="13"/>
  <c r="K53" i="13"/>
  <c r="I53" i="13"/>
  <c r="H53" i="13"/>
  <c r="G53" i="13"/>
  <c r="E53" i="13"/>
  <c r="D53" i="13"/>
  <c r="O52" i="13"/>
  <c r="N52" i="13"/>
  <c r="M52" i="13"/>
  <c r="L52" i="13"/>
  <c r="K52" i="13"/>
  <c r="I52" i="13"/>
  <c r="H52" i="13"/>
  <c r="G52" i="13"/>
  <c r="E52" i="13"/>
  <c r="D52" i="13"/>
  <c r="O51" i="13"/>
  <c r="N51" i="13"/>
  <c r="M51" i="13"/>
  <c r="L51" i="13"/>
  <c r="K51" i="13"/>
  <c r="I51" i="13"/>
  <c r="H51" i="13"/>
  <c r="G51" i="13"/>
  <c r="E51" i="13"/>
  <c r="D51" i="13"/>
  <c r="O50" i="13"/>
  <c r="N50" i="13"/>
  <c r="M50" i="13"/>
  <c r="L50" i="13"/>
  <c r="K50" i="13"/>
  <c r="I50" i="13"/>
  <c r="H50" i="13"/>
  <c r="G50" i="13"/>
  <c r="E50" i="13"/>
  <c r="D50" i="13"/>
  <c r="O49" i="13"/>
  <c r="N49" i="13"/>
  <c r="M49" i="13"/>
  <c r="L49" i="13"/>
  <c r="K49" i="13"/>
  <c r="I49" i="13"/>
  <c r="H49" i="13"/>
  <c r="G49" i="13"/>
  <c r="E49" i="13"/>
  <c r="D49" i="13"/>
  <c r="O48" i="13"/>
  <c r="N48" i="13"/>
  <c r="M48" i="13"/>
  <c r="L48" i="13"/>
  <c r="K48" i="13"/>
  <c r="I48" i="13"/>
  <c r="H48" i="13"/>
  <c r="G48" i="13"/>
  <c r="E48" i="13"/>
  <c r="D48" i="13"/>
  <c r="O47" i="13"/>
  <c r="N47" i="13"/>
  <c r="M47" i="13"/>
  <c r="L47" i="13"/>
  <c r="K47" i="13"/>
  <c r="I47" i="13"/>
  <c r="H47" i="13"/>
  <c r="G47" i="13"/>
  <c r="E47" i="13"/>
  <c r="D47" i="13"/>
  <c r="O42" i="13"/>
  <c r="N42" i="13"/>
  <c r="M42" i="13"/>
  <c r="L42" i="13"/>
  <c r="K42" i="13"/>
  <c r="I42" i="13"/>
  <c r="H42" i="13"/>
  <c r="G42" i="13"/>
  <c r="E42" i="13"/>
  <c r="D42" i="13"/>
  <c r="O41" i="13"/>
  <c r="N41" i="13"/>
  <c r="M41" i="13"/>
  <c r="L41" i="13"/>
  <c r="K41" i="13"/>
  <c r="I41" i="13"/>
  <c r="H41" i="13"/>
  <c r="G41" i="13"/>
  <c r="E41" i="13"/>
  <c r="D41" i="13"/>
  <c r="O40" i="13"/>
  <c r="N40" i="13"/>
  <c r="M40" i="13"/>
  <c r="L40" i="13"/>
  <c r="K40" i="13"/>
  <c r="I40" i="13"/>
  <c r="H40" i="13"/>
  <c r="G40" i="13"/>
  <c r="E40" i="13"/>
  <c r="D40" i="13"/>
  <c r="O39" i="13"/>
  <c r="N39" i="13"/>
  <c r="M39" i="13"/>
  <c r="L39" i="13"/>
  <c r="K39" i="13"/>
  <c r="I39" i="13"/>
  <c r="H39" i="13"/>
  <c r="G39" i="13"/>
  <c r="E39" i="13"/>
  <c r="D39" i="13"/>
  <c r="O34" i="13"/>
  <c r="N34" i="13"/>
  <c r="M34" i="13"/>
  <c r="L34" i="13"/>
  <c r="K34" i="13"/>
  <c r="I34" i="13"/>
  <c r="H34" i="13"/>
  <c r="G34" i="13"/>
  <c r="E34" i="13"/>
  <c r="D34" i="13"/>
  <c r="O33" i="13"/>
  <c r="N33" i="13"/>
  <c r="M33" i="13"/>
  <c r="L33" i="13"/>
  <c r="K33" i="13"/>
  <c r="I33" i="13"/>
  <c r="H33" i="13"/>
  <c r="G33" i="13"/>
  <c r="E33" i="13"/>
  <c r="D33" i="13"/>
  <c r="O32" i="13"/>
  <c r="O38" i="13" s="1"/>
  <c r="N32" i="13"/>
  <c r="M32" i="13"/>
  <c r="L32" i="13"/>
  <c r="K32" i="13"/>
  <c r="I32" i="13"/>
  <c r="H32" i="13"/>
  <c r="G32" i="13"/>
  <c r="E32" i="13"/>
  <c r="E38" i="13" s="1"/>
  <c r="D32" i="13"/>
  <c r="O31" i="13"/>
  <c r="N31" i="13"/>
  <c r="M31" i="13"/>
  <c r="L31" i="13"/>
  <c r="K31" i="13"/>
  <c r="I31" i="13"/>
  <c r="I37" i="13" s="1"/>
  <c r="H31" i="13"/>
  <c r="G31" i="13"/>
  <c r="E31" i="13"/>
  <c r="D31" i="13"/>
  <c r="D37" i="13" s="1"/>
  <c r="O28" i="13"/>
  <c r="N28" i="13"/>
  <c r="M28" i="13"/>
  <c r="L28" i="13"/>
  <c r="K28" i="13"/>
  <c r="I28" i="13"/>
  <c r="H28" i="13"/>
  <c r="G28" i="13"/>
  <c r="E28" i="13"/>
  <c r="D28" i="13"/>
  <c r="O27" i="13"/>
  <c r="N27" i="13"/>
  <c r="M27" i="13"/>
  <c r="L27" i="13"/>
  <c r="K27" i="13"/>
  <c r="I27" i="13"/>
  <c r="H27" i="13"/>
  <c r="G27" i="13"/>
  <c r="E27" i="13"/>
  <c r="D27" i="13"/>
  <c r="O26" i="13"/>
  <c r="O30" i="13" s="1"/>
  <c r="N26" i="13"/>
  <c r="M26" i="13"/>
  <c r="M30" i="13" s="1"/>
  <c r="L26" i="13"/>
  <c r="L30" i="13" s="1"/>
  <c r="K26" i="13"/>
  <c r="K30" i="13" s="1"/>
  <c r="I26" i="13"/>
  <c r="H26" i="13"/>
  <c r="H30" i="13" s="1"/>
  <c r="G26" i="13"/>
  <c r="G30" i="13" s="1"/>
  <c r="E26" i="13"/>
  <c r="E30" i="13" s="1"/>
  <c r="D26" i="13"/>
  <c r="D30" i="13" s="1"/>
  <c r="O25" i="13"/>
  <c r="N25" i="13"/>
  <c r="N29" i="13" s="1"/>
  <c r="M25" i="13"/>
  <c r="M29" i="13" s="1"/>
  <c r="L25" i="13"/>
  <c r="L29" i="13" s="1"/>
  <c r="K25" i="13"/>
  <c r="K29" i="13" s="1"/>
  <c r="I25" i="13"/>
  <c r="I29" i="13" s="1"/>
  <c r="H25" i="13"/>
  <c r="H29" i="13" s="1"/>
  <c r="G25" i="13"/>
  <c r="E25" i="13"/>
  <c r="E29" i="13" s="1"/>
  <c r="D25" i="13"/>
  <c r="D29" i="13" s="1"/>
  <c r="O22" i="13"/>
  <c r="N22" i="13"/>
  <c r="M22" i="13"/>
  <c r="L22" i="13"/>
  <c r="K22" i="13"/>
  <c r="I22" i="13"/>
  <c r="H22" i="13"/>
  <c r="G22" i="13"/>
  <c r="E22" i="13"/>
  <c r="D22" i="13"/>
  <c r="O21" i="13"/>
  <c r="N21" i="13"/>
  <c r="M21" i="13"/>
  <c r="L21" i="13"/>
  <c r="K21" i="13"/>
  <c r="I21" i="13"/>
  <c r="H21" i="13"/>
  <c r="G21" i="13"/>
  <c r="E21" i="13"/>
  <c r="D21" i="13"/>
  <c r="O20" i="13"/>
  <c r="N20" i="13"/>
  <c r="M20" i="13"/>
  <c r="L20" i="13"/>
  <c r="K20" i="13"/>
  <c r="I20" i="13"/>
  <c r="H20" i="13"/>
  <c r="G20" i="13"/>
  <c r="E20" i="13"/>
  <c r="D20" i="13"/>
  <c r="O19" i="13"/>
  <c r="N19" i="13"/>
  <c r="M19" i="13"/>
  <c r="L19" i="13"/>
  <c r="K19" i="13"/>
  <c r="I19" i="13"/>
  <c r="H19" i="13"/>
  <c r="G19" i="13"/>
  <c r="E19" i="13"/>
  <c r="D19" i="13"/>
  <c r="O18" i="13"/>
  <c r="N18" i="13"/>
  <c r="M18" i="13"/>
  <c r="L18" i="13"/>
  <c r="K18" i="13"/>
  <c r="I18" i="13"/>
  <c r="H18" i="13"/>
  <c r="G18" i="13"/>
  <c r="E18" i="13"/>
  <c r="D18" i="13"/>
  <c r="O17" i="13"/>
  <c r="N17" i="13"/>
  <c r="M17" i="13"/>
  <c r="L17" i="13"/>
  <c r="K17" i="13"/>
  <c r="I17" i="13"/>
  <c r="H17" i="13"/>
  <c r="G17" i="13"/>
  <c r="E17" i="13"/>
  <c r="D17" i="13"/>
  <c r="O16" i="13"/>
  <c r="N16" i="13"/>
  <c r="M16" i="13"/>
  <c r="L16" i="13"/>
  <c r="K16" i="13"/>
  <c r="I16" i="13"/>
  <c r="H16" i="13"/>
  <c r="G16" i="13"/>
  <c r="E16" i="13"/>
  <c r="D16" i="13"/>
  <c r="O15" i="13"/>
  <c r="N15" i="13"/>
  <c r="M15" i="13"/>
  <c r="L15" i="13"/>
  <c r="K15" i="13"/>
  <c r="I15" i="13"/>
  <c r="H15" i="13"/>
  <c r="G15" i="13"/>
  <c r="E15" i="13"/>
  <c r="D15" i="13"/>
  <c r="O14" i="13"/>
  <c r="N14" i="13"/>
  <c r="M14" i="13"/>
  <c r="L14" i="13"/>
  <c r="K14" i="13"/>
  <c r="I14" i="13"/>
  <c r="H14" i="13"/>
  <c r="H24" i="13" s="1"/>
  <c r="G14" i="13"/>
  <c r="E14" i="13"/>
  <c r="D14" i="13"/>
  <c r="O13" i="13"/>
  <c r="N13" i="13"/>
  <c r="M13" i="13"/>
  <c r="L13" i="13"/>
  <c r="K13" i="13"/>
  <c r="I13" i="13"/>
  <c r="H13" i="13"/>
  <c r="G13" i="13"/>
  <c r="E13" i="13"/>
  <c r="D13" i="13"/>
  <c r="O12" i="13"/>
  <c r="N12" i="13"/>
  <c r="M12" i="13"/>
  <c r="L12" i="13"/>
  <c r="K12" i="13"/>
  <c r="I12" i="13"/>
  <c r="H12" i="13"/>
  <c r="G12" i="13"/>
  <c r="E12" i="13"/>
  <c r="D12" i="13"/>
  <c r="O11" i="13"/>
  <c r="N11" i="13"/>
  <c r="M11" i="13"/>
  <c r="L11" i="13"/>
  <c r="K11" i="13"/>
  <c r="I11" i="13"/>
  <c r="H11" i="13"/>
  <c r="G11" i="13"/>
  <c r="E11" i="13"/>
  <c r="D11" i="13"/>
  <c r="O8" i="13"/>
  <c r="N8" i="13"/>
  <c r="M8" i="13"/>
  <c r="L8" i="13"/>
  <c r="K8" i="13"/>
  <c r="I8" i="13"/>
  <c r="H8" i="13"/>
  <c r="G8" i="13"/>
  <c r="E8" i="13"/>
  <c r="D8" i="13"/>
  <c r="O7" i="13"/>
  <c r="N7" i="13"/>
  <c r="M7" i="13"/>
  <c r="L7" i="13"/>
  <c r="K7" i="13"/>
  <c r="I7" i="13"/>
  <c r="H7" i="13"/>
  <c r="G7" i="13"/>
  <c r="E7" i="13"/>
  <c r="D7" i="13"/>
  <c r="O6" i="13"/>
  <c r="N6" i="13"/>
  <c r="M6" i="13"/>
  <c r="L6" i="13"/>
  <c r="K6" i="13"/>
  <c r="I6" i="13"/>
  <c r="H6" i="13"/>
  <c r="G6" i="13"/>
  <c r="E6" i="13"/>
  <c r="O5" i="13"/>
  <c r="N5" i="13"/>
  <c r="M5" i="13"/>
  <c r="L5" i="13"/>
  <c r="K5" i="13"/>
  <c r="I5" i="13"/>
  <c r="H5" i="13"/>
  <c r="G5" i="13"/>
  <c r="G9" i="13" s="1"/>
  <c r="E5" i="13"/>
  <c r="D5" i="13"/>
  <c r="L60" i="13"/>
  <c r="K38" i="13"/>
  <c r="F9" i="1"/>
  <c r="J9" i="1"/>
  <c r="F10" i="1"/>
  <c r="J10" i="1"/>
  <c r="J23" i="1"/>
  <c r="J24" i="1"/>
  <c r="F29" i="1"/>
  <c r="Q29" i="1" s="1"/>
  <c r="F30" i="1"/>
  <c r="F37" i="1"/>
  <c r="J37" i="1"/>
  <c r="F38" i="1"/>
  <c r="J38" i="1"/>
  <c r="J59" i="1"/>
  <c r="F60" i="1"/>
  <c r="J60" i="1"/>
  <c r="J76" i="1"/>
  <c r="F76" i="1"/>
  <c r="Q76" i="1" s="1"/>
  <c r="J139" i="12"/>
  <c r="J129" i="12"/>
  <c r="J128" i="12"/>
  <c r="J89" i="12"/>
  <c r="J88" i="12"/>
  <c r="J77" i="12"/>
  <c r="J76" i="12"/>
  <c r="J60" i="12"/>
  <c r="J59" i="12"/>
  <c r="J38" i="12"/>
  <c r="J37" i="12"/>
  <c r="J24" i="12"/>
  <c r="J23" i="12"/>
  <c r="J9" i="12"/>
  <c r="J139" i="11"/>
  <c r="J137" i="11"/>
  <c r="J129" i="11"/>
  <c r="J128" i="11"/>
  <c r="J89" i="11"/>
  <c r="J88" i="11"/>
  <c r="J77" i="11"/>
  <c r="J76" i="11"/>
  <c r="J60" i="11"/>
  <c r="J59" i="11"/>
  <c r="J38" i="11"/>
  <c r="J37" i="11"/>
  <c r="J30" i="11"/>
  <c r="J29" i="11"/>
  <c r="J24" i="11"/>
  <c r="J23" i="11"/>
  <c r="J139" i="10"/>
  <c r="J137" i="10"/>
  <c r="J129" i="10"/>
  <c r="J128" i="10"/>
  <c r="J89" i="10"/>
  <c r="J88" i="10"/>
  <c r="J77" i="10"/>
  <c r="J76" i="10"/>
  <c r="J60" i="10"/>
  <c r="J59" i="10"/>
  <c r="J38" i="10"/>
  <c r="J37" i="10"/>
  <c r="J24" i="10"/>
  <c r="J23" i="10"/>
  <c r="J137" i="9"/>
  <c r="J128" i="9"/>
  <c r="J89" i="9"/>
  <c r="J88" i="9"/>
  <c r="J77" i="9"/>
  <c r="J76" i="9"/>
  <c r="J60" i="9"/>
  <c r="J59" i="9"/>
  <c r="J38" i="9"/>
  <c r="J37" i="9"/>
  <c r="J30" i="9"/>
  <c r="J29" i="9"/>
  <c r="J23" i="9"/>
  <c r="J129" i="8"/>
  <c r="J128" i="8"/>
  <c r="J89" i="8"/>
  <c r="J88" i="8"/>
  <c r="J77" i="8"/>
  <c r="J76" i="8"/>
  <c r="J60" i="8"/>
  <c r="J59" i="8"/>
  <c r="J38" i="8"/>
  <c r="J37" i="8"/>
  <c r="J30" i="8"/>
  <c r="J29" i="8"/>
  <c r="J24" i="8"/>
  <c r="J23" i="8"/>
  <c r="J139" i="7"/>
  <c r="J137" i="7"/>
  <c r="J128" i="7"/>
  <c r="J89" i="7"/>
  <c r="J88" i="7"/>
  <c r="J77" i="7"/>
  <c r="J76" i="7"/>
  <c r="J60" i="7"/>
  <c r="J59" i="7"/>
  <c r="J38" i="7"/>
  <c r="J37" i="7"/>
  <c r="J30" i="7"/>
  <c r="J29" i="7"/>
  <c r="J24" i="7"/>
  <c r="J10" i="7"/>
  <c r="J9" i="7"/>
  <c r="J129" i="6"/>
  <c r="J128" i="6"/>
  <c r="J89" i="6"/>
  <c r="J88" i="6"/>
  <c r="J77" i="6"/>
  <c r="J76" i="6"/>
  <c r="J60" i="6"/>
  <c r="J59" i="6"/>
  <c r="J38" i="6"/>
  <c r="J37" i="6"/>
  <c r="J24" i="6"/>
  <c r="J23" i="6"/>
  <c r="J10" i="6"/>
  <c r="J9" i="6"/>
  <c r="J139" i="5"/>
  <c r="J129" i="5"/>
  <c r="J128" i="5"/>
  <c r="J89" i="5"/>
  <c r="J88" i="5"/>
  <c r="J77" i="5"/>
  <c r="J76" i="5"/>
  <c r="J60" i="5"/>
  <c r="J59" i="5"/>
  <c r="J38" i="5"/>
  <c r="J37" i="5"/>
  <c r="J30" i="5"/>
  <c r="J29" i="5"/>
  <c r="J23" i="5"/>
  <c r="J10" i="5"/>
  <c r="J139" i="4"/>
  <c r="J137" i="4"/>
  <c r="J129" i="4"/>
  <c r="J128" i="4"/>
  <c r="J89" i="4"/>
  <c r="J88" i="4"/>
  <c r="J77" i="4"/>
  <c r="J76" i="4"/>
  <c r="J60" i="4"/>
  <c r="J59" i="4"/>
  <c r="J38" i="4"/>
  <c r="J37" i="4"/>
  <c r="J129" i="3"/>
  <c r="J128" i="3"/>
  <c r="J89" i="3"/>
  <c r="J88" i="3"/>
  <c r="J77" i="3"/>
  <c r="J76" i="3"/>
  <c r="J60" i="3"/>
  <c r="J59" i="3"/>
  <c r="J38" i="3"/>
  <c r="J37" i="3"/>
  <c r="J9" i="3"/>
  <c r="J139" i="2"/>
  <c r="J129" i="2"/>
  <c r="J89" i="2"/>
  <c r="J88" i="2"/>
  <c r="J77" i="2"/>
  <c r="J76" i="2"/>
  <c r="J60" i="2"/>
  <c r="J59" i="2"/>
  <c r="J37" i="2"/>
  <c r="J10" i="2"/>
  <c r="J137" i="1"/>
  <c r="J129" i="1"/>
  <c r="J128" i="1"/>
  <c r="J89" i="1"/>
  <c r="J88" i="1"/>
  <c r="J77" i="1"/>
  <c r="F10" i="10"/>
  <c r="F76" i="9"/>
  <c r="Q76" i="9" s="1"/>
  <c r="F38" i="8"/>
  <c r="F37" i="8"/>
  <c r="Q37" i="8" s="1"/>
  <c r="F38" i="7"/>
  <c r="F37" i="7"/>
  <c r="F9" i="7"/>
  <c r="Q9" i="7" s="1"/>
  <c r="F38" i="6"/>
  <c r="F37" i="6"/>
  <c r="F129" i="5"/>
  <c r="F77" i="5"/>
  <c r="Q77" i="5" s="1"/>
  <c r="F10" i="3"/>
  <c r="F137" i="2"/>
  <c r="F88" i="2"/>
  <c r="F10" i="2"/>
  <c r="F129" i="12"/>
  <c r="Q129" i="12" s="1"/>
  <c r="F128" i="12"/>
  <c r="Q128" i="12" s="1"/>
  <c r="F89" i="12"/>
  <c r="F60" i="12"/>
  <c r="F30" i="12"/>
  <c r="F128" i="11"/>
  <c r="F89" i="11"/>
  <c r="Q89" i="11" s="1"/>
  <c r="F60" i="11"/>
  <c r="F30" i="11"/>
  <c r="F129" i="10"/>
  <c r="Q129" i="10" s="1"/>
  <c r="F128" i="10"/>
  <c r="Q128" i="10" s="1"/>
  <c r="F89" i="10"/>
  <c r="F77" i="10"/>
  <c r="Q77" i="10" s="1"/>
  <c r="F76" i="10"/>
  <c r="Q76" i="10" s="1"/>
  <c r="F60" i="10"/>
  <c r="F38" i="10"/>
  <c r="F37" i="10"/>
  <c r="Q37" i="10" s="1"/>
  <c r="F30" i="10"/>
  <c r="F29" i="10"/>
  <c r="F89" i="9"/>
  <c r="Q89" i="9" s="1"/>
  <c r="F60" i="9"/>
  <c r="F30" i="9"/>
  <c r="Q30" i="9" s="1"/>
  <c r="F29" i="9"/>
  <c r="Q29" i="9" s="1"/>
  <c r="F128" i="8"/>
  <c r="Q128" i="8" s="1"/>
  <c r="F89" i="8"/>
  <c r="Q89" i="8" s="1"/>
  <c r="F88" i="8"/>
  <c r="Q88" i="8" s="1"/>
  <c r="F76" i="8"/>
  <c r="F60" i="8"/>
  <c r="F30" i="8"/>
  <c r="Q30" i="8" s="1"/>
  <c r="F29" i="8"/>
  <c r="Q29" i="8" s="1"/>
  <c r="F24" i="8"/>
  <c r="F129" i="7"/>
  <c r="F88" i="7"/>
  <c r="Q88" i="7" s="1"/>
  <c r="F59" i="7"/>
  <c r="F24" i="7"/>
  <c r="Q24" i="7" s="1"/>
  <c r="F129" i="6"/>
  <c r="Q129" i="6" s="1"/>
  <c r="F88" i="6"/>
  <c r="F77" i="6"/>
  <c r="Q77" i="6" s="1"/>
  <c r="F76" i="6"/>
  <c r="F59" i="6"/>
  <c r="Q59" i="6" s="1"/>
  <c r="F30" i="6"/>
  <c r="F29" i="6"/>
  <c r="F23" i="6"/>
  <c r="F10" i="6"/>
  <c r="F9" i="6"/>
  <c r="F139" i="5"/>
  <c r="Q139" i="5" s="1"/>
  <c r="F128" i="5"/>
  <c r="Q128" i="5" s="1"/>
  <c r="F88" i="5"/>
  <c r="Q88" i="5" s="1"/>
  <c r="F60" i="5"/>
  <c r="F30" i="5"/>
  <c r="F29" i="5"/>
  <c r="Q29" i="5" s="1"/>
  <c r="F24" i="5"/>
  <c r="F23" i="5"/>
  <c r="F9" i="5"/>
  <c r="F137" i="4"/>
  <c r="Q137" i="4" s="1"/>
  <c r="F128" i="4"/>
  <c r="Q128" i="4" s="1"/>
  <c r="F88" i="4"/>
  <c r="F77" i="4"/>
  <c r="F59" i="4"/>
  <c r="F38" i="4"/>
  <c r="F37" i="4"/>
  <c r="Q37" i="4" s="1"/>
  <c r="F30" i="4"/>
  <c r="F29" i="4"/>
  <c r="F10" i="4"/>
  <c r="F128" i="3"/>
  <c r="F88" i="3"/>
  <c r="F59" i="3"/>
  <c r="Q59" i="3" s="1"/>
  <c r="F30" i="3"/>
  <c r="F29" i="3"/>
  <c r="Q29" i="3" s="1"/>
  <c r="F139" i="2"/>
  <c r="Q139" i="2" s="1"/>
  <c r="F129" i="2"/>
  <c r="F128" i="2"/>
  <c r="Q128" i="2" s="1"/>
  <c r="F77" i="2"/>
  <c r="Q77" i="2" s="1"/>
  <c r="F76" i="2"/>
  <c r="Q76" i="2" s="1"/>
  <c r="F60" i="2"/>
  <c r="F38" i="2"/>
  <c r="F37" i="2"/>
  <c r="F30" i="2"/>
  <c r="F29" i="2"/>
  <c r="F139" i="1"/>
  <c r="Q139" i="1" s="1"/>
  <c r="F129" i="1"/>
  <c r="Q129" i="1" s="1"/>
  <c r="F128" i="1"/>
  <c r="Q128" i="1" s="1"/>
  <c r="F88" i="1"/>
  <c r="I9" i="13" l="1"/>
  <c r="Q37" i="1"/>
  <c r="Q88" i="1"/>
  <c r="I137" i="13"/>
  <c r="P10" i="13"/>
  <c r="O139" i="13"/>
  <c r="M139" i="13"/>
  <c r="K139" i="13"/>
  <c r="Q89" i="12"/>
  <c r="Q78" i="12"/>
  <c r="Q82" i="12"/>
  <c r="Q86" i="12"/>
  <c r="Q92" i="12"/>
  <c r="Q96" i="12"/>
  <c r="Q100" i="12"/>
  <c r="Q106" i="12"/>
  <c r="Q110" i="12"/>
  <c r="Q114" i="12"/>
  <c r="Q118" i="12"/>
  <c r="Q122" i="12"/>
  <c r="Q126" i="12"/>
  <c r="Q132" i="12"/>
  <c r="Q136" i="12"/>
  <c r="Q85" i="11"/>
  <c r="Q95" i="11"/>
  <c r="Q103" i="11"/>
  <c r="Q113" i="11"/>
  <c r="Q121" i="11"/>
  <c r="Q131" i="11"/>
  <c r="Q128" i="11"/>
  <c r="Q6" i="11"/>
  <c r="Q78" i="11"/>
  <c r="Q82" i="11"/>
  <c r="Q86" i="11"/>
  <c r="Q92" i="11"/>
  <c r="Q96" i="11"/>
  <c r="Q100" i="11"/>
  <c r="Q106" i="11"/>
  <c r="Q110" i="11"/>
  <c r="Q114" i="11"/>
  <c r="Q118" i="11"/>
  <c r="Q122" i="11"/>
  <c r="Q126" i="11"/>
  <c r="Q132" i="11"/>
  <c r="Q136" i="11"/>
  <c r="Q81" i="11"/>
  <c r="Q91" i="11"/>
  <c r="Q99" i="11"/>
  <c r="Q109" i="11"/>
  <c r="Q117" i="11"/>
  <c r="Q125" i="11"/>
  <c r="Q135" i="11"/>
  <c r="Q137" i="11"/>
  <c r="J86" i="13"/>
  <c r="Q78" i="10"/>
  <c r="Q86" i="10"/>
  <c r="Q96" i="10"/>
  <c r="Q106" i="10"/>
  <c r="Q114" i="10"/>
  <c r="Q122" i="10"/>
  <c r="Q132" i="10"/>
  <c r="Q136" i="10"/>
  <c r="Q89" i="10"/>
  <c r="Q79" i="10"/>
  <c r="Q83" i="10"/>
  <c r="Q87" i="10"/>
  <c r="Q93" i="10"/>
  <c r="Q97" i="10"/>
  <c r="Q101" i="10"/>
  <c r="Q107" i="10"/>
  <c r="Q111" i="10"/>
  <c r="Q115" i="10"/>
  <c r="Q119" i="10"/>
  <c r="Q123" i="10"/>
  <c r="Q127" i="10"/>
  <c r="Q133" i="10"/>
  <c r="Q137" i="10"/>
  <c r="Q82" i="10"/>
  <c r="Q92" i="10"/>
  <c r="Q100" i="10"/>
  <c r="Q110" i="10"/>
  <c r="Q118" i="10"/>
  <c r="Q126" i="10"/>
  <c r="Q5" i="10"/>
  <c r="Q138" i="10"/>
  <c r="Q25" i="9"/>
  <c r="Q35" i="9"/>
  <c r="Q45" i="9"/>
  <c r="Q53" i="9"/>
  <c r="Q63" i="9"/>
  <c r="Q84" i="9"/>
  <c r="Q94" i="9"/>
  <c r="Q102" i="9"/>
  <c r="Q112" i="9"/>
  <c r="Q120" i="9"/>
  <c r="Q128" i="9"/>
  <c r="Q137" i="9"/>
  <c r="Q26" i="9"/>
  <c r="Q32" i="9"/>
  <c r="Q36" i="9"/>
  <c r="Q42" i="9"/>
  <c r="Q46" i="9"/>
  <c r="Q50" i="9"/>
  <c r="Q54" i="9"/>
  <c r="Q58" i="9"/>
  <c r="Q64" i="9"/>
  <c r="Q68" i="9"/>
  <c r="Q81" i="9"/>
  <c r="Q85" i="9"/>
  <c r="Q91" i="9"/>
  <c r="Q95" i="9"/>
  <c r="Q99" i="9"/>
  <c r="Q103" i="9"/>
  <c r="Q109" i="9"/>
  <c r="Q113" i="9"/>
  <c r="Q117" i="9"/>
  <c r="Q121" i="9"/>
  <c r="Q125" i="9"/>
  <c r="Q130" i="9"/>
  <c r="Q134" i="9"/>
  <c r="H10" i="13"/>
  <c r="Q31" i="9"/>
  <c r="Q41" i="9"/>
  <c r="Q49" i="9"/>
  <c r="Q57" i="9"/>
  <c r="Q67" i="9"/>
  <c r="Q80" i="9"/>
  <c r="Q90" i="9"/>
  <c r="Q98" i="9"/>
  <c r="Q108" i="9"/>
  <c r="Q116" i="9"/>
  <c r="Q124" i="9"/>
  <c r="Q131" i="9"/>
  <c r="Q135" i="9"/>
  <c r="Q139" i="9"/>
  <c r="Q78" i="8"/>
  <c r="Q82" i="8"/>
  <c r="Q86" i="8"/>
  <c r="Q92" i="8"/>
  <c r="Q96" i="8"/>
  <c r="Q100" i="8"/>
  <c r="Q106" i="8"/>
  <c r="Q110" i="8"/>
  <c r="Q114" i="8"/>
  <c r="Q118" i="8"/>
  <c r="Q122" i="8"/>
  <c r="Q126" i="8"/>
  <c r="Q132" i="8"/>
  <c r="Q136" i="8"/>
  <c r="J110" i="13"/>
  <c r="Q76" i="8"/>
  <c r="Q79" i="8"/>
  <c r="Q83" i="8"/>
  <c r="Q87" i="8"/>
  <c r="Q93" i="8"/>
  <c r="Q97" i="8"/>
  <c r="Q101" i="8"/>
  <c r="Q107" i="8"/>
  <c r="Q111" i="8"/>
  <c r="Q115" i="8"/>
  <c r="Q119" i="8"/>
  <c r="Q123" i="8"/>
  <c r="Q127" i="8"/>
  <c r="Q133" i="8"/>
  <c r="Q137" i="8"/>
  <c r="Q139" i="7"/>
  <c r="Q59" i="7"/>
  <c r="Q138" i="7"/>
  <c r="Q88" i="6"/>
  <c r="Q5" i="6"/>
  <c r="Q11" i="6"/>
  <c r="Q15" i="6"/>
  <c r="Q19" i="6"/>
  <c r="Q25" i="6"/>
  <c r="Q31" i="6"/>
  <c r="Q35" i="6"/>
  <c r="Q41" i="6"/>
  <c r="Q45" i="6"/>
  <c r="Q49" i="6"/>
  <c r="Q53" i="6"/>
  <c r="Q57" i="6"/>
  <c r="Q63" i="6"/>
  <c r="Q67" i="6"/>
  <c r="Q78" i="6"/>
  <c r="Q82" i="6"/>
  <c r="Q86" i="6"/>
  <c r="Q92" i="6"/>
  <c r="Q96" i="6"/>
  <c r="Q100" i="6"/>
  <c r="Q106" i="6"/>
  <c r="Q110" i="6"/>
  <c r="Q114" i="6"/>
  <c r="Q118" i="6"/>
  <c r="Q122" i="6"/>
  <c r="Q126" i="6"/>
  <c r="Q132" i="6"/>
  <c r="Q136" i="6"/>
  <c r="Q23" i="6"/>
  <c r="Q76" i="6"/>
  <c r="Q7" i="6"/>
  <c r="Q13" i="6"/>
  <c r="Q17" i="6"/>
  <c r="Q21" i="6"/>
  <c r="Q27" i="6"/>
  <c r="Q80" i="6"/>
  <c r="Q84" i="6"/>
  <c r="Q90" i="6"/>
  <c r="Q94" i="6"/>
  <c r="Q98" i="6"/>
  <c r="Q102" i="6"/>
  <c r="Q108" i="6"/>
  <c r="Q112" i="6"/>
  <c r="Q116" i="6"/>
  <c r="Q120" i="6"/>
  <c r="Q124" i="6"/>
  <c r="Q130" i="6"/>
  <c r="Q134" i="6"/>
  <c r="Q141" i="6"/>
  <c r="J97" i="13"/>
  <c r="Q129" i="5"/>
  <c r="Q79" i="5"/>
  <c r="Q83" i="5"/>
  <c r="Q87" i="5"/>
  <c r="J109" i="13"/>
  <c r="Q89" i="5"/>
  <c r="Q81" i="5"/>
  <c r="Q85" i="5"/>
  <c r="Q138" i="5"/>
  <c r="Q11" i="4"/>
  <c r="Q19" i="4"/>
  <c r="Q31" i="4"/>
  <c r="Q41" i="4"/>
  <c r="Q49" i="4"/>
  <c r="Q57" i="4"/>
  <c r="Q67" i="4"/>
  <c r="Q6" i="4"/>
  <c r="Q12" i="4"/>
  <c r="Q16" i="4"/>
  <c r="Q20" i="4"/>
  <c r="Q32" i="4"/>
  <c r="Q36" i="4"/>
  <c r="Q42" i="4"/>
  <c r="Q46" i="4"/>
  <c r="Q50" i="4"/>
  <c r="Q54" i="4"/>
  <c r="Q58" i="4"/>
  <c r="Q64" i="4"/>
  <c r="Q68" i="4"/>
  <c r="Q80" i="4"/>
  <c r="Q84" i="4"/>
  <c r="Q90" i="4"/>
  <c r="Q94" i="4"/>
  <c r="Q98" i="4"/>
  <c r="Q102" i="4"/>
  <c r="Q108" i="4"/>
  <c r="Q112" i="4"/>
  <c r="Q116" i="4"/>
  <c r="Q120" i="4"/>
  <c r="Q124" i="4"/>
  <c r="Q130" i="4"/>
  <c r="Q134" i="4"/>
  <c r="Q139" i="4"/>
  <c r="J90" i="13"/>
  <c r="J112" i="13"/>
  <c r="Q5" i="4"/>
  <c r="Q15" i="4"/>
  <c r="Q35" i="4"/>
  <c r="Q45" i="4"/>
  <c r="Q53" i="4"/>
  <c r="Q63" i="4"/>
  <c r="Q77" i="4"/>
  <c r="Q88" i="4"/>
  <c r="Q81" i="4"/>
  <c r="Q85" i="4"/>
  <c r="Q91" i="4"/>
  <c r="Q95" i="4"/>
  <c r="Q99" i="4"/>
  <c r="Q103" i="4"/>
  <c r="Q109" i="4"/>
  <c r="Q113" i="4"/>
  <c r="Q117" i="4"/>
  <c r="Q121" i="4"/>
  <c r="Q125" i="4"/>
  <c r="Q131" i="4"/>
  <c r="Q135" i="4"/>
  <c r="Q141" i="4"/>
  <c r="Q128" i="3"/>
  <c r="Q129" i="3"/>
  <c r="Q133" i="3"/>
  <c r="Q88" i="3"/>
  <c r="Q6" i="3"/>
  <c r="Q131" i="3"/>
  <c r="Q135" i="3"/>
  <c r="J78" i="13"/>
  <c r="Q29" i="2"/>
  <c r="Q129" i="2"/>
  <c r="Q88" i="2"/>
  <c r="Q80" i="2"/>
  <c r="Q84" i="2"/>
  <c r="Q89" i="2"/>
  <c r="Q133" i="2"/>
  <c r="Q138" i="2"/>
  <c r="J115" i="13"/>
  <c r="J133" i="13"/>
  <c r="Q78" i="2"/>
  <c r="Q82" i="2"/>
  <c r="Q86" i="2"/>
  <c r="Q131" i="2"/>
  <c r="Q135" i="2"/>
  <c r="Q60" i="1"/>
  <c r="Q30" i="1"/>
  <c r="Q10" i="1"/>
  <c r="Q138" i="1"/>
  <c r="H9" i="13"/>
  <c r="Q5" i="1"/>
  <c r="Q89" i="1"/>
  <c r="Q137" i="1"/>
  <c r="Q78" i="1"/>
  <c r="Q82" i="1"/>
  <c r="Q86" i="1"/>
  <c r="G139" i="13"/>
  <c r="E137" i="13"/>
  <c r="F68" i="13"/>
  <c r="J16" i="13"/>
  <c r="Q60" i="2"/>
  <c r="Q38" i="4"/>
  <c r="Q30" i="5"/>
  <c r="Q38" i="10"/>
  <c r="Q60" i="11"/>
  <c r="Q60" i="12"/>
  <c r="Q38" i="8"/>
  <c r="Q9" i="1"/>
  <c r="Q14" i="1"/>
  <c r="Q22" i="1"/>
  <c r="Q33" i="1"/>
  <c r="Q43" i="1"/>
  <c r="Q51" i="1"/>
  <c r="Q61" i="1"/>
  <c r="Q12" i="9"/>
  <c r="Q20" i="9"/>
  <c r="Q39" i="10"/>
  <c r="Q47" i="10"/>
  <c r="Q55" i="10"/>
  <c r="Q65" i="10"/>
  <c r="Q11" i="12"/>
  <c r="Q19" i="12"/>
  <c r="Q59" i="4"/>
  <c r="Q9" i="6"/>
  <c r="Q37" i="6"/>
  <c r="Q37" i="7"/>
  <c r="Q40" i="1"/>
  <c r="Q44" i="1"/>
  <c r="Q56" i="1"/>
  <c r="Q62" i="1"/>
  <c r="Q66" i="1"/>
  <c r="Q25" i="2"/>
  <c r="Q26" i="3"/>
  <c r="Q27" i="4"/>
  <c r="Q33" i="6"/>
  <c r="Q39" i="6"/>
  <c r="Q43" i="6"/>
  <c r="Q47" i="6"/>
  <c r="Q51" i="6"/>
  <c r="Q55" i="6"/>
  <c r="Q61" i="6"/>
  <c r="Q65" i="6"/>
  <c r="Q7" i="8"/>
  <c r="Q13" i="8"/>
  <c r="Q17" i="8"/>
  <c r="Q21" i="8"/>
  <c r="Q27" i="8"/>
  <c r="Q33" i="8"/>
  <c r="Q39" i="8"/>
  <c r="Q43" i="8"/>
  <c r="Q47" i="8"/>
  <c r="Q51" i="8"/>
  <c r="Q55" i="8"/>
  <c r="Q61" i="8"/>
  <c r="Q65" i="8"/>
  <c r="Q13" i="9"/>
  <c r="Q17" i="9"/>
  <c r="Q21" i="9"/>
  <c r="Q34" i="10"/>
  <c r="Q40" i="10"/>
  <c r="Q44" i="10"/>
  <c r="Q48" i="10"/>
  <c r="Q52" i="10"/>
  <c r="Q56" i="10"/>
  <c r="Q62" i="10"/>
  <c r="Q66" i="10"/>
  <c r="Q12" i="12"/>
  <c r="Q16" i="12"/>
  <c r="Q20" i="12"/>
  <c r="Q26" i="12"/>
  <c r="Q38" i="1"/>
  <c r="J7" i="13"/>
  <c r="J9" i="13" s="1"/>
  <c r="J21" i="13"/>
  <c r="J15" i="13"/>
  <c r="Q30" i="2"/>
  <c r="Q30" i="3"/>
  <c r="Q60" i="5"/>
  <c r="Q60" i="9"/>
  <c r="Q30" i="11"/>
  <c r="Q30" i="12"/>
  <c r="Q10" i="2"/>
  <c r="Q8" i="1"/>
  <c r="Q18" i="1"/>
  <c r="Q28" i="1"/>
  <c r="Q39" i="1"/>
  <c r="Q47" i="1"/>
  <c r="Q55" i="1"/>
  <c r="Q65" i="1"/>
  <c r="Q16" i="9"/>
  <c r="Q33" i="10"/>
  <c r="Q43" i="10"/>
  <c r="Q51" i="10"/>
  <c r="Q61" i="10"/>
  <c r="Q15" i="12"/>
  <c r="Q25" i="12"/>
  <c r="Q37" i="2"/>
  <c r="Q29" i="4"/>
  <c r="Q23" i="5"/>
  <c r="Q29" i="6"/>
  <c r="Q29" i="10"/>
  <c r="Q30" i="4"/>
  <c r="Q10" i="6"/>
  <c r="Q30" i="6"/>
  <c r="Q24" i="8"/>
  <c r="Q60" i="8"/>
  <c r="Q30" i="10"/>
  <c r="Q60" i="10"/>
  <c r="Q38" i="6"/>
  <c r="Q38" i="7"/>
  <c r="L9" i="13"/>
  <c r="Q26" i="2"/>
  <c r="Q8" i="3"/>
  <c r="Q27" i="3"/>
  <c r="Q28" i="4"/>
  <c r="Q12" i="5"/>
  <c r="Q16" i="5"/>
  <c r="Q20" i="5"/>
  <c r="Q26" i="5"/>
  <c r="Q32" i="5"/>
  <c r="Q36" i="5"/>
  <c r="Q42" i="5"/>
  <c r="Q46" i="5"/>
  <c r="Q50" i="5"/>
  <c r="Q54" i="5"/>
  <c r="Q58" i="5"/>
  <c r="Q64" i="5"/>
  <c r="Q68" i="5"/>
  <c r="Q34" i="6"/>
  <c r="Q40" i="6"/>
  <c r="Q44" i="6"/>
  <c r="Q48" i="6"/>
  <c r="Q52" i="6"/>
  <c r="Q56" i="6"/>
  <c r="Q62" i="6"/>
  <c r="Q66" i="6"/>
  <c r="Q12" i="7"/>
  <c r="Q16" i="7"/>
  <c r="Q20" i="7"/>
  <c r="Q26" i="7"/>
  <c r="Q32" i="7"/>
  <c r="Q36" i="7"/>
  <c r="Q42" i="7"/>
  <c r="Q46" i="7"/>
  <c r="Q50" i="7"/>
  <c r="Q54" i="7"/>
  <c r="Q58" i="7"/>
  <c r="Q64" i="7"/>
  <c r="Q68" i="7"/>
  <c r="Q8" i="8"/>
  <c r="Q14" i="8"/>
  <c r="Q18" i="8"/>
  <c r="Q22" i="8"/>
  <c r="Q28" i="8"/>
  <c r="Q34" i="8"/>
  <c r="Q40" i="8"/>
  <c r="Q44" i="8"/>
  <c r="Q48" i="8"/>
  <c r="Q52" i="8"/>
  <c r="Q56" i="8"/>
  <c r="Q62" i="8"/>
  <c r="Q66" i="8"/>
  <c r="Q11" i="10"/>
  <c r="Q15" i="10"/>
  <c r="Q19" i="10"/>
  <c r="Q25" i="10"/>
  <c r="Q7" i="11"/>
  <c r="Q12" i="11"/>
  <c r="Q16" i="11"/>
  <c r="Q20" i="11"/>
  <c r="Q26" i="11"/>
  <c r="Q32" i="11"/>
  <c r="Q36" i="11"/>
  <c r="Q42" i="11"/>
  <c r="Q46" i="11"/>
  <c r="Q50" i="11"/>
  <c r="Q54" i="11"/>
  <c r="Q58" i="11"/>
  <c r="Q64" i="11"/>
  <c r="Q68" i="11"/>
  <c r="Q33" i="12"/>
  <c r="Q39" i="12"/>
  <c r="Q43" i="12"/>
  <c r="Q47" i="12"/>
  <c r="Q51" i="12"/>
  <c r="Q55" i="12"/>
  <c r="Q61" i="12"/>
  <c r="Q65" i="12"/>
  <c r="D10" i="13"/>
  <c r="F110" i="13"/>
  <c r="N23" i="13"/>
  <c r="L24" i="13"/>
  <c r="I23" i="13"/>
  <c r="N76" i="13"/>
  <c r="K77" i="13"/>
  <c r="E128" i="13"/>
  <c r="H129" i="13"/>
  <c r="H139" i="13"/>
  <c r="N139" i="13"/>
  <c r="P137" i="13"/>
  <c r="P88" i="13"/>
  <c r="L38" i="13"/>
  <c r="P38" i="13"/>
  <c r="M137" i="13"/>
  <c r="K9" i="13"/>
  <c r="O9" i="13"/>
  <c r="N10" i="13"/>
  <c r="G37" i="13"/>
  <c r="L37" i="13"/>
  <c r="L59" i="13"/>
  <c r="M24" i="13"/>
  <c r="E10" i="13"/>
  <c r="K10" i="13"/>
  <c r="O10" i="13"/>
  <c r="H59" i="13"/>
  <c r="P37" i="13"/>
  <c r="P29" i="13"/>
  <c r="D76" i="13"/>
  <c r="F94" i="13"/>
  <c r="F102" i="13"/>
  <c r="D23" i="13"/>
  <c r="F81" i="13"/>
  <c r="Q81" i="1"/>
  <c r="F85" i="13"/>
  <c r="Q85" i="1"/>
  <c r="F117" i="13"/>
  <c r="Q117" i="1"/>
  <c r="F78" i="13"/>
  <c r="F11" i="13"/>
  <c r="Q11" i="1"/>
  <c r="F15" i="13"/>
  <c r="Q15" i="13" s="1"/>
  <c r="Q15" i="1"/>
  <c r="F19" i="13"/>
  <c r="Q19" i="1"/>
  <c r="F25" i="13"/>
  <c r="Q25" i="1"/>
  <c r="F34" i="13"/>
  <c r="Q34" i="1"/>
  <c r="F48" i="13"/>
  <c r="Q48" i="1"/>
  <c r="F52" i="13"/>
  <c r="Q52" i="1"/>
  <c r="F5" i="13"/>
  <c r="Q5" i="13" s="1"/>
  <c r="F12" i="13"/>
  <c r="Q12" i="1"/>
  <c r="F20" i="13"/>
  <c r="Q20" i="1"/>
  <c r="F6" i="13"/>
  <c r="F16" i="13"/>
  <c r="Q16" i="13" s="1"/>
  <c r="F32" i="13"/>
  <c r="F64" i="13"/>
  <c r="F9" i="2"/>
  <c r="J47" i="13"/>
  <c r="J39" i="13"/>
  <c r="J55" i="13"/>
  <c r="H38" i="13"/>
  <c r="E88" i="13"/>
  <c r="G89" i="13"/>
  <c r="F9" i="8"/>
  <c r="Q9" i="8" s="1"/>
  <c r="J58" i="13"/>
  <c r="J18" i="13"/>
  <c r="F28" i="13"/>
  <c r="F40" i="13"/>
  <c r="F56" i="13"/>
  <c r="M9" i="13"/>
  <c r="E37" i="13"/>
  <c r="D9" i="13"/>
  <c r="E23" i="13"/>
  <c r="F39" i="13"/>
  <c r="Q39" i="13" s="1"/>
  <c r="F43" i="13"/>
  <c r="F47" i="13"/>
  <c r="F51" i="13"/>
  <c r="F55" i="13"/>
  <c r="F8" i="13"/>
  <c r="M128" i="13"/>
  <c r="L129" i="13"/>
  <c r="N9" i="13"/>
  <c r="L23" i="13"/>
  <c r="I24" i="13"/>
  <c r="O23" i="13"/>
  <c r="K24" i="13"/>
  <c r="D38" i="13"/>
  <c r="E60" i="13"/>
  <c r="N60" i="13"/>
  <c r="F35" i="13"/>
  <c r="I128" i="13"/>
  <c r="F23" i="3"/>
  <c r="Q23" i="3" s="1"/>
  <c r="F37" i="3"/>
  <c r="Q37" i="3" s="1"/>
  <c r="F76" i="3"/>
  <c r="Q76" i="3" s="1"/>
  <c r="F9" i="4"/>
  <c r="Q9" i="4" s="1"/>
  <c r="F37" i="5"/>
  <c r="Q37" i="5" s="1"/>
  <c r="F76" i="5"/>
  <c r="Q76" i="5" s="1"/>
  <c r="F29" i="7"/>
  <c r="Q29" i="7" s="1"/>
  <c r="F37" i="9"/>
  <c r="Q37" i="9" s="1"/>
  <c r="F37" i="11"/>
  <c r="Q37" i="11" s="1"/>
  <c r="F76" i="11"/>
  <c r="Q76" i="11" s="1"/>
  <c r="F37" i="12"/>
  <c r="Q37" i="12" s="1"/>
  <c r="F76" i="12"/>
  <c r="Q76" i="12" s="1"/>
  <c r="E9" i="13"/>
  <c r="I10" i="13"/>
  <c r="G10" i="13"/>
  <c r="O29" i="13"/>
  <c r="H37" i="13"/>
  <c r="M37" i="13"/>
  <c r="G59" i="13"/>
  <c r="O128" i="13"/>
  <c r="L137" i="13"/>
  <c r="P60" i="13"/>
  <c r="P9" i="13"/>
  <c r="F27" i="13"/>
  <c r="F36" i="13"/>
  <c r="F41" i="13"/>
  <c r="F45" i="13"/>
  <c r="F49" i="13"/>
  <c r="F53" i="13"/>
  <c r="F57" i="13"/>
  <c r="F63" i="13"/>
  <c r="F67" i="13"/>
  <c r="J65" i="13"/>
  <c r="G23" i="13"/>
  <c r="D24" i="13"/>
  <c r="N24" i="13"/>
  <c r="G24" i="13"/>
  <c r="O24" i="13"/>
  <c r="M23" i="13"/>
  <c r="M59" i="13"/>
  <c r="L77" i="13"/>
  <c r="H137" i="13"/>
  <c r="F31" i="13"/>
  <c r="F44" i="13"/>
  <c r="J27" i="13"/>
  <c r="F77" i="1"/>
  <c r="Q77" i="1" s="1"/>
  <c r="F38" i="3"/>
  <c r="Q38" i="3" s="1"/>
  <c r="F77" i="3"/>
  <c r="Q77" i="3" s="1"/>
  <c r="F38" i="5"/>
  <c r="Q38" i="5" s="1"/>
  <c r="F59" i="1"/>
  <c r="Q59" i="1" s="1"/>
  <c r="F23" i="1"/>
  <c r="Q23" i="1" s="1"/>
  <c r="I30" i="13"/>
  <c r="N30" i="13"/>
  <c r="G29" i="13"/>
  <c r="G38" i="13"/>
  <c r="I76" i="13"/>
  <c r="O77" i="13"/>
  <c r="H76" i="13"/>
  <c r="E77" i="13"/>
  <c r="I88" i="13"/>
  <c r="K89" i="13"/>
  <c r="O89" i="13"/>
  <c r="P59" i="13"/>
  <c r="P30" i="13"/>
  <c r="F33" i="13"/>
  <c r="F46" i="13"/>
  <c r="F9" i="10"/>
  <c r="F9" i="11"/>
  <c r="F9" i="12"/>
  <c r="Q9" i="12" s="1"/>
  <c r="J56" i="13"/>
  <c r="J42" i="13"/>
  <c r="F24" i="2"/>
  <c r="Q24" i="2" s="1"/>
  <c r="F24" i="3"/>
  <c r="Q24" i="3" s="1"/>
  <c r="F139" i="12"/>
  <c r="Q139" i="12" s="1"/>
  <c r="J137" i="6"/>
  <c r="J104" i="7"/>
  <c r="J23" i="7"/>
  <c r="J137" i="8"/>
  <c r="F10" i="8"/>
  <c r="J105" i="4"/>
  <c r="J10" i="4"/>
  <c r="Q10" i="4" s="1"/>
  <c r="J139" i="6"/>
  <c r="J129" i="7"/>
  <c r="Q129" i="7" s="1"/>
  <c r="J105" i="8"/>
  <c r="J10" i="8"/>
  <c r="F105" i="7"/>
  <c r="F10" i="7"/>
  <c r="Q10" i="7" s="1"/>
  <c r="F30" i="7"/>
  <c r="Q30" i="7" s="1"/>
  <c r="F24" i="9"/>
  <c r="Q24" i="9" s="1"/>
  <c r="F38" i="9"/>
  <c r="Q38" i="9" s="1"/>
  <c r="F77" i="9"/>
  <c r="Q77" i="9" s="1"/>
  <c r="F129" i="9"/>
  <c r="Q129" i="9" s="1"/>
  <c r="F24" i="11"/>
  <c r="Q24" i="11" s="1"/>
  <c r="F38" i="11"/>
  <c r="Q38" i="11" s="1"/>
  <c r="F77" i="11"/>
  <c r="Q77" i="11" s="1"/>
  <c r="F129" i="11"/>
  <c r="Q129" i="11" s="1"/>
  <c r="F24" i="12"/>
  <c r="Q24" i="12" s="1"/>
  <c r="F38" i="12"/>
  <c r="Q38" i="12" s="1"/>
  <c r="F77" i="12"/>
  <c r="Q77" i="12" s="1"/>
  <c r="J10" i="3"/>
  <c r="Q10" i="3" s="1"/>
  <c r="J105" i="3"/>
  <c r="J137" i="3"/>
  <c r="Q137" i="3" s="1"/>
  <c r="J9" i="5"/>
  <c r="Q9" i="5" s="1"/>
  <c r="J104" i="5"/>
  <c r="M88" i="13"/>
  <c r="P77" i="13"/>
  <c r="J107" i="13"/>
  <c r="J104" i="6"/>
  <c r="J9" i="8"/>
  <c r="J104" i="8"/>
  <c r="J104" i="10"/>
  <c r="J9" i="10"/>
  <c r="J104" i="11"/>
  <c r="J9" i="11"/>
  <c r="J105" i="5"/>
  <c r="J24" i="5"/>
  <c r="Q24" i="5" s="1"/>
  <c r="J105" i="6"/>
  <c r="F104" i="2"/>
  <c r="F23" i="2"/>
  <c r="Q23" i="2" s="1"/>
  <c r="F104" i="3"/>
  <c r="F139" i="3"/>
  <c r="Q139" i="3" s="1"/>
  <c r="F24" i="4"/>
  <c r="Q24" i="4" s="1"/>
  <c r="F129" i="4"/>
  <c r="Q129" i="4" s="1"/>
  <c r="F105" i="5"/>
  <c r="F10" i="5"/>
  <c r="Q10" i="5" s="1"/>
  <c r="F24" i="6"/>
  <c r="Q24" i="6" s="1"/>
  <c r="F60" i="6"/>
  <c r="Q60" i="6" s="1"/>
  <c r="F89" i="6"/>
  <c r="Q89" i="6" s="1"/>
  <c r="F137" i="6"/>
  <c r="F23" i="7"/>
  <c r="F59" i="9"/>
  <c r="Q59" i="9" s="1"/>
  <c r="F88" i="9"/>
  <c r="Q88" i="9" s="1"/>
  <c r="F23" i="10"/>
  <c r="Q23" i="10" s="1"/>
  <c r="F29" i="11"/>
  <c r="Q29" i="11" s="1"/>
  <c r="F59" i="11"/>
  <c r="Q59" i="11" s="1"/>
  <c r="F88" i="11"/>
  <c r="Q88" i="11" s="1"/>
  <c r="F29" i="12"/>
  <c r="Q29" i="12" s="1"/>
  <c r="F59" i="12"/>
  <c r="Q59" i="12" s="1"/>
  <c r="F88" i="12"/>
  <c r="Q88" i="12" s="1"/>
  <c r="J9" i="2"/>
  <c r="J104" i="2"/>
  <c r="J140" i="2"/>
  <c r="J137" i="2"/>
  <c r="Q137" i="2" s="1"/>
  <c r="J104" i="3"/>
  <c r="J105" i="9"/>
  <c r="J10" i="9"/>
  <c r="Q10" i="9" s="1"/>
  <c r="J105" i="12"/>
  <c r="J10" i="12"/>
  <c r="Q10" i="12" s="1"/>
  <c r="K23" i="13"/>
  <c r="G77" i="13"/>
  <c r="F93" i="13"/>
  <c r="F101" i="13"/>
  <c r="G129" i="13"/>
  <c r="P23" i="13"/>
  <c r="F18" i="13"/>
  <c r="F62" i="13"/>
  <c r="F22" i="13"/>
  <c r="J134" i="13"/>
  <c r="F59" i="2"/>
  <c r="Q59" i="2" s="1"/>
  <c r="F105" i="4"/>
  <c r="F60" i="4"/>
  <c r="Q60" i="4" s="1"/>
  <c r="F89" i="4"/>
  <c r="Q89" i="4" s="1"/>
  <c r="F139" i="6"/>
  <c r="Q139" i="6" s="1"/>
  <c r="F60" i="7"/>
  <c r="Q60" i="7" s="1"/>
  <c r="F89" i="7"/>
  <c r="Q89" i="7" s="1"/>
  <c r="F77" i="8"/>
  <c r="Q77" i="8" s="1"/>
  <c r="F129" i="8"/>
  <c r="Q129" i="8" s="1"/>
  <c r="F105" i="10"/>
  <c r="F24" i="10"/>
  <c r="Q24" i="10" s="1"/>
  <c r="F105" i="6"/>
  <c r="J139" i="3"/>
  <c r="J137" i="5"/>
  <c r="Q137" i="5" s="1"/>
  <c r="J142" i="8"/>
  <c r="J139" i="8"/>
  <c r="Q139" i="8" s="1"/>
  <c r="J129" i="9"/>
  <c r="J105" i="10"/>
  <c r="J10" i="10"/>
  <c r="Q10" i="10" s="1"/>
  <c r="J105" i="11"/>
  <c r="J10" i="11"/>
  <c r="Q10" i="11" s="1"/>
  <c r="J137" i="12"/>
  <c r="H23" i="13"/>
  <c r="F114" i="13"/>
  <c r="J36" i="13"/>
  <c r="J50" i="13"/>
  <c r="J121" i="13"/>
  <c r="J125" i="13"/>
  <c r="J53" i="13"/>
  <c r="J67" i="13"/>
  <c r="J43" i="13"/>
  <c r="J68" i="13"/>
  <c r="J81" i="13"/>
  <c r="J85" i="13"/>
  <c r="E24" i="13"/>
  <c r="K129" i="13"/>
  <c r="P76" i="13"/>
  <c r="F66" i="13"/>
  <c r="F14" i="13"/>
  <c r="F60" i="3"/>
  <c r="Q60" i="3" s="1"/>
  <c r="F89" i="3"/>
  <c r="Q89" i="3" s="1"/>
  <c r="F104" i="4"/>
  <c r="F23" i="4"/>
  <c r="Q23" i="4" s="1"/>
  <c r="F76" i="4"/>
  <c r="Q76" i="4" s="1"/>
  <c r="F59" i="5"/>
  <c r="Q59" i="5" s="1"/>
  <c r="F128" i="6"/>
  <c r="Q128" i="6" s="1"/>
  <c r="F76" i="7"/>
  <c r="Q76" i="7" s="1"/>
  <c r="F128" i="7"/>
  <c r="Q128" i="7" s="1"/>
  <c r="F23" i="8"/>
  <c r="Q23" i="8" s="1"/>
  <c r="F59" i="8"/>
  <c r="Q59" i="8" s="1"/>
  <c r="F104" i="9"/>
  <c r="F23" i="9"/>
  <c r="Q23" i="9" s="1"/>
  <c r="F59" i="10"/>
  <c r="Q59" i="10" s="1"/>
  <c r="F88" i="10"/>
  <c r="Q88" i="10" s="1"/>
  <c r="F104" i="11"/>
  <c r="F23" i="11"/>
  <c r="Q23" i="11" s="1"/>
  <c r="F23" i="12"/>
  <c r="Q23" i="12" s="1"/>
  <c r="F104" i="8"/>
  <c r="F137" i="12"/>
  <c r="Q137" i="12" s="1"/>
  <c r="J105" i="2"/>
  <c r="J38" i="2"/>
  <c r="Q38" i="2" s="1"/>
  <c r="J104" i="4"/>
  <c r="J9" i="4"/>
  <c r="J105" i="7"/>
  <c r="J104" i="12"/>
  <c r="F24" i="1"/>
  <c r="Q24" i="1" s="1"/>
  <c r="K76" i="13"/>
  <c r="O76" i="13"/>
  <c r="H77" i="13"/>
  <c r="M77" i="13"/>
  <c r="F13" i="13"/>
  <c r="F17" i="13"/>
  <c r="F21" i="13"/>
  <c r="F61" i="13"/>
  <c r="F80" i="13"/>
  <c r="F84" i="13"/>
  <c r="F92" i="13"/>
  <c r="F100" i="13"/>
  <c r="F116" i="13"/>
  <c r="F26" i="13"/>
  <c r="F42" i="13"/>
  <c r="F50" i="13"/>
  <c r="F58" i="13"/>
  <c r="F54" i="13"/>
  <c r="J9" i="9"/>
  <c r="Q9" i="9" s="1"/>
  <c r="J62" i="13"/>
  <c r="J13" i="13"/>
  <c r="J33" i="13"/>
  <c r="J25" i="13"/>
  <c r="J34" i="13"/>
  <c r="J44" i="13"/>
  <c r="K137" i="13"/>
  <c r="F82" i="13"/>
  <c r="F86" i="13"/>
  <c r="Q86" i="13" s="1"/>
  <c r="F90" i="13"/>
  <c r="F98" i="13"/>
  <c r="F106" i="13"/>
  <c r="F118" i="13"/>
  <c r="F122" i="13"/>
  <c r="F126" i="13"/>
  <c r="F130" i="13"/>
  <c r="F134" i="13"/>
  <c r="J45" i="13"/>
  <c r="J66" i="13"/>
  <c r="J113" i="13"/>
  <c r="J83" i="13"/>
  <c r="J92" i="13"/>
  <c r="J100" i="13"/>
  <c r="J117" i="13"/>
  <c r="J131" i="13"/>
  <c r="L10" i="13"/>
  <c r="D129" i="13"/>
  <c r="D137" i="13"/>
  <c r="F83" i="13"/>
  <c r="F99" i="13"/>
  <c r="F107" i="13"/>
  <c r="J6" i="13"/>
  <c r="J14" i="13"/>
  <c r="J22" i="13"/>
  <c r="J26" i="13"/>
  <c r="J54" i="13"/>
  <c r="J98" i="13"/>
  <c r="J130" i="13"/>
  <c r="J46" i="13"/>
  <c r="J80" i="13"/>
  <c r="J84" i="13"/>
  <c r="J93" i="13"/>
  <c r="J101" i="13"/>
  <c r="J106" i="13"/>
  <c r="J35" i="13"/>
  <c r="J40" i="13"/>
  <c r="J48" i="13"/>
  <c r="J119" i="13"/>
  <c r="J123" i="13"/>
  <c r="J127" i="13"/>
  <c r="K37" i="13"/>
  <c r="O37" i="13"/>
  <c r="N38" i="13"/>
  <c r="O137" i="13"/>
  <c r="J82" i="13"/>
  <c r="J95" i="13"/>
  <c r="J99" i="13"/>
  <c r="J103" i="13"/>
  <c r="J116" i="13"/>
  <c r="G128" i="13"/>
  <c r="J11" i="13"/>
  <c r="J19" i="13"/>
  <c r="J31" i="13"/>
  <c r="J51" i="13"/>
  <c r="J63" i="13"/>
  <c r="J94" i="13"/>
  <c r="J102" i="13"/>
  <c r="J114" i="13"/>
  <c r="J118" i="13"/>
  <c r="J122" i="13"/>
  <c r="J126" i="13"/>
  <c r="J17" i="13"/>
  <c r="J41" i="13"/>
  <c r="J49" i="13"/>
  <c r="J57" i="13"/>
  <c r="J61" i="13"/>
  <c r="J96" i="13"/>
  <c r="J108" i="13"/>
  <c r="J120" i="13"/>
  <c r="J124" i="13"/>
  <c r="J132" i="13"/>
  <c r="J136" i="13"/>
  <c r="J8" i="13"/>
  <c r="J28" i="13"/>
  <c r="N37" i="13"/>
  <c r="I38" i="13"/>
  <c r="M38" i="13"/>
  <c r="G137" i="13"/>
  <c r="N129" i="13"/>
  <c r="E129" i="13"/>
  <c r="M129" i="13"/>
  <c r="K128" i="13"/>
  <c r="I129" i="13"/>
  <c r="N128" i="13"/>
  <c r="E89" i="13"/>
  <c r="N89" i="13"/>
  <c r="N88" i="13"/>
  <c r="M89" i="13"/>
  <c r="I89" i="13"/>
  <c r="G88" i="13"/>
  <c r="O88" i="13"/>
  <c r="K88" i="13"/>
  <c r="L139" i="13"/>
  <c r="J12" i="13"/>
  <c r="J20" i="13"/>
  <c r="J32" i="13"/>
  <c r="J52" i="13"/>
  <c r="J64" i="13"/>
  <c r="J79" i="13"/>
  <c r="J87" i="13"/>
  <c r="J91" i="13"/>
  <c r="J111" i="13"/>
  <c r="F112" i="13"/>
  <c r="F103" i="13"/>
  <c r="F124" i="13"/>
  <c r="F132" i="13"/>
  <c r="F97" i="13"/>
  <c r="F109" i="13"/>
  <c r="F113" i="13"/>
  <c r="F121" i="13"/>
  <c r="F125" i="13"/>
  <c r="F133" i="13"/>
  <c r="F96" i="13"/>
  <c r="F108" i="13"/>
  <c r="F120" i="13"/>
  <c r="F87" i="13"/>
  <c r="F123" i="13"/>
  <c r="F127" i="13"/>
  <c r="F79" i="13"/>
  <c r="F95" i="13"/>
  <c r="F111" i="13"/>
  <c r="F115" i="13"/>
  <c r="F136" i="13"/>
  <c r="F91" i="13"/>
  <c r="F119" i="13"/>
  <c r="F131" i="13"/>
  <c r="F7" i="13"/>
  <c r="F65" i="13"/>
  <c r="P139" i="13"/>
  <c r="P128" i="13"/>
  <c r="P89" i="13"/>
  <c r="P129" i="13"/>
  <c r="P24" i="13"/>
  <c r="H128" i="13"/>
  <c r="L128" i="13"/>
  <c r="D128" i="13"/>
  <c r="O129" i="13"/>
  <c r="E139" i="13"/>
  <c r="I139" i="13"/>
  <c r="D88" i="13"/>
  <c r="H88" i="13"/>
  <c r="L88" i="13"/>
  <c r="D89" i="13"/>
  <c r="H89" i="13"/>
  <c r="L89" i="13"/>
  <c r="N137" i="13"/>
  <c r="D139" i="13"/>
  <c r="M10" i="13"/>
  <c r="J104" i="1"/>
  <c r="J105" i="1"/>
  <c r="J142" i="12"/>
  <c r="J140" i="11"/>
  <c r="J142" i="11"/>
  <c r="J140" i="4"/>
  <c r="J142" i="4"/>
  <c r="F142" i="10"/>
  <c r="F142" i="5"/>
  <c r="L104" i="13" l="1"/>
  <c r="K104" i="13"/>
  <c r="K140" i="13" s="1"/>
  <c r="Q105" i="10"/>
  <c r="Q97" i="13"/>
  <c r="Q110" i="13"/>
  <c r="Q137" i="6"/>
  <c r="Q109" i="13"/>
  <c r="Q90" i="13"/>
  <c r="Q7" i="13"/>
  <c r="Q112" i="13"/>
  <c r="Q78" i="13"/>
  <c r="J59" i="13"/>
  <c r="Q115" i="13"/>
  <c r="J60" i="13"/>
  <c r="Q91" i="13"/>
  <c r="Q133" i="13"/>
  <c r="Q58" i="13"/>
  <c r="J139" i="13"/>
  <c r="Q50" i="13"/>
  <c r="J37" i="13"/>
  <c r="Q68" i="13"/>
  <c r="Q64" i="13"/>
  <c r="Q94" i="13"/>
  <c r="Q81" i="13"/>
  <c r="Q41" i="13"/>
  <c r="Q43" i="13"/>
  <c r="Q136" i="13"/>
  <c r="Q104" i="11"/>
  <c r="F140" i="3"/>
  <c r="Q105" i="4"/>
  <c r="Q23" i="7"/>
  <c r="F140" i="9"/>
  <c r="Q140" i="9" s="1"/>
  <c r="J142" i="5"/>
  <c r="Q142" i="5" s="1"/>
  <c r="Q48" i="13"/>
  <c r="Q21" i="13"/>
  <c r="Q105" i="6"/>
  <c r="F105" i="8"/>
  <c r="Q105" i="8" s="1"/>
  <c r="Q18" i="13"/>
  <c r="Q104" i="2"/>
  <c r="F104" i="6"/>
  <c r="Q104" i="6" s="1"/>
  <c r="Q9" i="11"/>
  <c r="Q56" i="13"/>
  <c r="Q104" i="8"/>
  <c r="Q105" i="7"/>
  <c r="Q9" i="10"/>
  <c r="Q9" i="2"/>
  <c r="K105" i="13"/>
  <c r="K142" i="13" s="1"/>
  <c r="Q65" i="13"/>
  <c r="Q103" i="13"/>
  <c r="Q104" i="4"/>
  <c r="J140" i="12"/>
  <c r="Q105" i="5"/>
  <c r="Q104" i="3"/>
  <c r="J142" i="6"/>
  <c r="Q10" i="8"/>
  <c r="Q46" i="13"/>
  <c r="O105" i="13"/>
  <c r="O142" i="13" s="1"/>
  <c r="F29" i="13"/>
  <c r="F30" i="13"/>
  <c r="Q63" i="13"/>
  <c r="Q93" i="13"/>
  <c r="Q117" i="13"/>
  <c r="J137" i="13"/>
  <c r="Q11" i="13"/>
  <c r="N105" i="13"/>
  <c r="N142" i="13" s="1"/>
  <c r="P104" i="13"/>
  <c r="P140" i="13" s="1"/>
  <c r="Q57" i="13"/>
  <c r="Q51" i="13"/>
  <c r="E104" i="13"/>
  <c r="E140" i="13" s="1"/>
  <c r="H104" i="13"/>
  <c r="H140" i="13" s="1"/>
  <c r="Q44" i="13"/>
  <c r="F24" i="13"/>
  <c r="Q6" i="13"/>
  <c r="M105" i="13"/>
  <c r="H105" i="13"/>
  <c r="H142" i="13" s="1"/>
  <c r="Q120" i="13"/>
  <c r="Q125" i="13"/>
  <c r="Q40" i="13"/>
  <c r="Q82" i="13"/>
  <c r="J77" i="13"/>
  <c r="Q101" i="13"/>
  <c r="I104" i="13"/>
  <c r="I140" i="13" s="1"/>
  <c r="Q45" i="13"/>
  <c r="G105" i="13"/>
  <c r="G142" i="13" s="1"/>
  <c r="D104" i="13"/>
  <c r="D140" i="13" s="1"/>
  <c r="F37" i="13"/>
  <c r="F10" i="13"/>
  <c r="Q52" i="13"/>
  <c r="Q8" i="13"/>
  <c r="Q102" i="13"/>
  <c r="Q31" i="13"/>
  <c r="Q27" i="13"/>
  <c r="Q53" i="13"/>
  <c r="Q36" i="13"/>
  <c r="Q34" i="13"/>
  <c r="Q19" i="13"/>
  <c r="Q107" i="13"/>
  <c r="Q47" i="13"/>
  <c r="F38" i="13"/>
  <c r="Q49" i="13"/>
  <c r="Q33" i="13"/>
  <c r="F59" i="13"/>
  <c r="F137" i="13"/>
  <c r="Q137" i="13" s="1"/>
  <c r="F88" i="13"/>
  <c r="Q12" i="13"/>
  <c r="Q28" i="13"/>
  <c r="Q85" i="13"/>
  <c r="Q67" i="13"/>
  <c r="D105" i="13"/>
  <c r="D142" i="13" s="1"/>
  <c r="F60" i="13"/>
  <c r="Q99" i="13"/>
  <c r="Q61" i="13"/>
  <c r="F140" i="2"/>
  <c r="Q140" i="2" s="1"/>
  <c r="F142" i="8"/>
  <c r="Q142" i="8" s="1"/>
  <c r="F140" i="11"/>
  <c r="Q140" i="11" s="1"/>
  <c r="J140" i="1"/>
  <c r="F105" i="1"/>
  <c r="Q105" i="1" s="1"/>
  <c r="F9" i="13"/>
  <c r="Q9" i="13" s="1"/>
  <c r="Q127" i="13"/>
  <c r="Q132" i="13"/>
  <c r="J30" i="13"/>
  <c r="J88" i="13"/>
  <c r="J10" i="13"/>
  <c r="J29" i="13"/>
  <c r="Q42" i="13"/>
  <c r="Q92" i="13"/>
  <c r="F104" i="7"/>
  <c r="Q104" i="7" s="1"/>
  <c r="E105" i="13"/>
  <c r="E142" i="13" s="1"/>
  <c r="J142" i="3"/>
  <c r="Q22" i="13"/>
  <c r="M104" i="13"/>
  <c r="M140" i="13" s="1"/>
  <c r="J140" i="10"/>
  <c r="J142" i="1"/>
  <c r="Q130" i="13"/>
  <c r="Q35" i="13"/>
  <c r="Q55" i="13"/>
  <c r="Q100" i="13"/>
  <c r="Q66" i="13"/>
  <c r="F140" i="4"/>
  <c r="Q140" i="4" s="1"/>
  <c r="Q111" i="13"/>
  <c r="Q124" i="13"/>
  <c r="G104" i="13"/>
  <c r="G140" i="13" s="1"/>
  <c r="I105" i="13"/>
  <c r="J128" i="13"/>
  <c r="J23" i="13"/>
  <c r="Q134" i="13"/>
  <c r="Q118" i="13"/>
  <c r="F104" i="10"/>
  <c r="Q104" i="10" s="1"/>
  <c r="F105" i="11"/>
  <c r="Q105" i="11" s="1"/>
  <c r="F140" i="5"/>
  <c r="F89" i="13"/>
  <c r="Q79" i="13"/>
  <c r="J38" i="13"/>
  <c r="Q32" i="13"/>
  <c r="J142" i="2"/>
  <c r="J140" i="7"/>
  <c r="Q108" i="13"/>
  <c r="J89" i="13"/>
  <c r="Q106" i="13"/>
  <c r="F105" i="3"/>
  <c r="Q105" i="3" s="1"/>
  <c r="F142" i="3"/>
  <c r="Q142" i="3" s="1"/>
  <c r="F140" i="8"/>
  <c r="F140" i="10"/>
  <c r="J142" i="10"/>
  <c r="Q142" i="10" s="1"/>
  <c r="F77" i="13"/>
  <c r="Q119" i="13"/>
  <c r="Q123" i="13"/>
  <c r="Q96" i="13"/>
  <c r="Q113" i="13"/>
  <c r="J76" i="13"/>
  <c r="J129" i="13"/>
  <c r="O104" i="13"/>
  <c r="O140" i="13" s="1"/>
  <c r="N104" i="13"/>
  <c r="N140" i="13" s="1"/>
  <c r="Q126" i="13"/>
  <c r="Q98" i="13"/>
  <c r="Q54" i="13"/>
  <c r="Q26" i="13"/>
  <c r="Q84" i="13"/>
  <c r="Q17" i="13"/>
  <c r="F140" i="12"/>
  <c r="Q140" i="12" s="1"/>
  <c r="F104" i="12"/>
  <c r="Q104" i="12" s="1"/>
  <c r="J142" i="9"/>
  <c r="J140" i="5"/>
  <c r="F142" i="6"/>
  <c r="Q62" i="13"/>
  <c r="Q25" i="13"/>
  <c r="F140" i="6"/>
  <c r="J142" i="7"/>
  <c r="J140" i="8"/>
  <c r="J140" i="6"/>
  <c r="F142" i="2"/>
  <c r="Q142" i="2" s="1"/>
  <c r="F140" i="7"/>
  <c r="Q140" i="7" s="1"/>
  <c r="Q83" i="13"/>
  <c r="F104" i="5"/>
  <c r="Q104" i="5" s="1"/>
  <c r="Q131" i="13"/>
  <c r="Q121" i="13"/>
  <c r="J24" i="13"/>
  <c r="F105" i="9"/>
  <c r="Q105" i="9" s="1"/>
  <c r="F142" i="1"/>
  <c r="F142" i="4"/>
  <c r="Q142" i="4" s="1"/>
  <c r="F142" i="7"/>
  <c r="Q142" i="7" s="1"/>
  <c r="F142" i="9"/>
  <c r="Q142" i="9" s="1"/>
  <c r="F142" i="11"/>
  <c r="Q142" i="11" s="1"/>
  <c r="L105" i="13"/>
  <c r="L142" i="13" s="1"/>
  <c r="F23" i="13"/>
  <c r="Q95" i="13"/>
  <c r="Q87" i="13"/>
  <c r="Q20" i="13"/>
  <c r="Q122" i="13"/>
  <c r="Q116" i="13"/>
  <c r="Q80" i="13"/>
  <c r="Q13" i="13"/>
  <c r="J140" i="9"/>
  <c r="J104" i="9"/>
  <c r="Q104" i="9" s="1"/>
  <c r="Q14" i="13"/>
  <c r="Q114" i="13"/>
  <c r="J140" i="3"/>
  <c r="F142" i="12"/>
  <c r="Q142" i="12" s="1"/>
  <c r="F105" i="12"/>
  <c r="Q105" i="12" s="1"/>
  <c r="F105" i="2"/>
  <c r="Q105" i="2" s="1"/>
  <c r="M142" i="13"/>
  <c r="I142" i="13"/>
  <c r="F129" i="13"/>
  <c r="F128" i="13"/>
  <c r="F139" i="13"/>
  <c r="F76" i="13"/>
  <c r="P105" i="13"/>
  <c r="P142" i="13" s="1"/>
  <c r="L140" i="13"/>
  <c r="Q139" i="13" l="1"/>
  <c r="Q60" i="13"/>
  <c r="Q59" i="13"/>
  <c r="Q37" i="13"/>
  <c r="J104" i="13"/>
  <c r="J140" i="13" s="1"/>
  <c r="Q88" i="13"/>
  <c r="F105" i="13"/>
  <c r="F142" i="13" s="1"/>
  <c r="Q30" i="13"/>
  <c r="Q142" i="1"/>
  <c r="Q140" i="6"/>
  <c r="Q140" i="10"/>
  <c r="Q10" i="13"/>
  <c r="Q142" i="6"/>
  <c r="Q29" i="13"/>
  <c r="Q24" i="13"/>
  <c r="Q140" i="8"/>
  <c r="Q140" i="5"/>
  <c r="Q140" i="3"/>
  <c r="Q38" i="13"/>
  <c r="Q89" i="13"/>
  <c r="Q77" i="13"/>
  <c r="Q23" i="13"/>
  <c r="J105" i="13"/>
  <c r="J142" i="13" s="1"/>
  <c r="Q128" i="13"/>
  <c r="F140" i="1"/>
  <c r="Q140" i="1" s="1"/>
  <c r="F104" i="1"/>
  <c r="Q104" i="1" s="1"/>
  <c r="Q76" i="13"/>
  <c r="Q129" i="13"/>
  <c r="F104" i="13"/>
  <c r="Q104" i="13" s="1"/>
  <c r="Q142" i="13" l="1"/>
  <c r="Q105" i="13"/>
  <c r="F140" i="13"/>
  <c r="Q140" i="13" s="1"/>
</calcChain>
</file>

<file path=xl/sharedStrings.xml><?xml version="1.0" encoding="utf-8"?>
<sst xmlns="http://schemas.openxmlformats.org/spreadsheetml/2006/main" count="3841" uniqueCount="118">
  <si>
    <t/>
  </si>
  <si>
    <t>(株) 塩 釜</t>
  </si>
  <si>
    <t>塩 釜 合 計</t>
  </si>
  <si>
    <t>石 巻 第 一</t>
  </si>
  <si>
    <t>石 巻 第 二</t>
  </si>
  <si>
    <t>女      川</t>
  </si>
  <si>
    <t>閖    　上</t>
  </si>
  <si>
    <t>亘    　理</t>
  </si>
  <si>
    <t>牡      鹿</t>
  </si>
  <si>
    <t>七ヶ浜</t>
    <rPh sb="0" eb="3">
      <t>シチガハマ</t>
    </rPh>
    <phoneticPr fontId="6"/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</si>
  <si>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</si>
  <si>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</si>
  <si>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</si>
  <si>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</si>
  <si>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</si>
  <si>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</si>
  <si>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</si>
  <si>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</si>
  <si>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</si>
  <si>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</si>
  <si>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</si>
  <si>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</si>
  <si>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</si>
  <si>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</si>
  <si>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</si>
  <si>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</si>
  <si>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</si>
  <si>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</si>
  <si>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</si>
  <si>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</si>
  <si>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</si>
  <si>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</si>
  <si>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</si>
  <si>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</si>
  <si>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</si>
  <si>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</si>
  <si>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</si>
  <si>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</si>
  <si>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</si>
  <si>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</si>
  <si>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</si>
  <si>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</si>
  <si>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</si>
  <si>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</si>
  <si>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</si>
  <si>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</si>
  <si>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</si>
  <si>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</si>
  <si>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</si>
  <si>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</si>
  <si>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</si>
  <si>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</si>
  <si>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</si>
  <si>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</si>
  <si>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</si>
  <si>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</si>
  <si>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５月</t>
    <phoneticPr fontId="6"/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</si>
  <si>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</si>
  <si>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</si>
  <si>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</si>
  <si>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</si>
  <si>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</si>
  <si>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</si>
  <si>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</si>
  <si>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</si>
  <si>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</si>
  <si>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</si>
  <si>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</si>
  <si>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</si>
  <si>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</si>
  <si>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</si>
  <si>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</si>
  <si>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</si>
  <si>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</si>
  <si>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</si>
  <si>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</si>
  <si>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</si>
  <si>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</si>
  <si>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</si>
  <si>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</si>
  <si>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</si>
  <si>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</si>
  <si>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</si>
  <si>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</si>
  <si>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</si>
  <si>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</si>
  <si>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</si>
  <si>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</si>
  <si>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</si>
  <si>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</si>
  <si>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</si>
  <si>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</si>
  <si>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</si>
  <si>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</si>
  <si>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</si>
  <si>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５．魚種別・魚市場別水揚高  （総括表）</t>
    <phoneticPr fontId="3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</si>
  <si>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</si>
  <si>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</si>
  <si>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機船漁協</t>
    <phoneticPr fontId="6"/>
  </si>
  <si>
    <t>気仙沼</t>
    <phoneticPr fontId="6"/>
  </si>
  <si>
    <t>石 巻 合 計</t>
    <rPh sb="0" eb="3">
      <t>イシノマキ</t>
    </rPh>
    <rPh sb="4" eb="7">
      <t>ゴウケイ</t>
    </rPh>
    <phoneticPr fontId="3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</si>
  <si>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</si>
  <si>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</si>
  <si>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１月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</si>
  <si>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</si>
  <si>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</si>
  <si>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４月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</si>
  <si>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</si>
  <si>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</si>
  <si>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</si>
  <si>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</si>
  <si>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１０月</t>
    <rPh sb="2" eb="3">
      <t>ガツ</t>
    </rPh>
    <phoneticPr fontId="6"/>
  </si>
  <si>
    <t>１１月</t>
    <rPh sb="2" eb="3">
      <t>ガツ</t>
    </rPh>
    <phoneticPr fontId="6"/>
  </si>
  <si>
    <t>１２月</t>
    <rPh sb="2" eb="3">
      <t>ガツ</t>
    </rPh>
    <phoneticPr fontId="4"/>
  </si>
  <si>
    <t>６．魚種別・月別・魚市場別水揚高</t>
    <rPh sb="6" eb="8">
      <t>ツキベツ</t>
    </rPh>
    <phoneticPr fontId="3"/>
  </si>
  <si>
    <t>七 ヶ 浜</t>
    <rPh sb="0" eb="1">
      <t>シチ</t>
    </rPh>
    <rPh sb="4" eb="5">
      <t>ハマ</t>
    </rPh>
    <phoneticPr fontId="6"/>
  </si>
  <si>
    <t>（単位：トン，千円）</t>
    <phoneticPr fontId="6"/>
  </si>
  <si>
    <t>（単位：トン，千円）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</si>
</sst>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\(#,##0\)"/>
    <numFmt numFmtId="177" formatCode="0_);[Red]\(0\)"/>
    <numFmt numFmtId="178" formatCode="#,##0_);[Red]\(#,##0\)"/>
    <numFmt numFmtId="179" formatCode="_ * #,##0.00000_ ;_ * \-#,##0.00000_ ;_ * &quot;-&quot;?????_ ;_ @_ "/>
    <numFmt numFmtId="180" formatCode="_ * #,##0.0000_ ;_ * \-#,##0.0000_ ;_ * &quot;-&quot;????_ ;_ @_ "/>
    <numFmt numFmtId="181" formatCode="_ * #,##0.000000_ ;_ * \-#,##0.000000_ ;_ * &quot;-&quot;??????_ ;_ @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41" fontId="3" fillId="0" borderId="0" xfId="1" applyNumberFormat="1" applyFont="1" applyAlignment="1" applyProtection="1"/>
    <xf numFmtId="41" fontId="5" fillId="0" borderId="0" xfId="1" applyNumberFormat="1" applyFont="1" applyAlignment="1" applyProtection="1"/>
    <xf numFmtId="41" fontId="3" fillId="0" borderId="1" xfId="1" applyNumberFormat="1" applyFont="1" applyBorder="1" applyAlignment="1" applyProtection="1"/>
    <xf numFmtId="41" fontId="3" fillId="0" borderId="2" xfId="1" applyNumberFormat="1" applyFont="1" applyBorder="1" applyAlignment="1" applyProtection="1">
      <alignment horizontal="center"/>
    </xf>
    <xf numFmtId="41" fontId="3" fillId="0" borderId="3" xfId="1" applyNumberFormat="1" applyFont="1" applyBorder="1" applyAlignment="1" applyProtection="1">
      <alignment horizontal="center"/>
    </xf>
    <xf numFmtId="41" fontId="3" fillId="0" borderId="4" xfId="1" applyNumberFormat="1" applyFont="1" applyBorder="1" applyAlignment="1" applyProtection="1">
      <alignment horizontal="center"/>
    </xf>
    <xf numFmtId="41" fontId="3" fillId="0" borderId="5" xfId="1" applyNumberFormat="1" applyFont="1" applyBorder="1" applyAlignment="1" applyProtection="1">
      <alignment horizontal="center"/>
    </xf>
    <xf numFmtId="41" fontId="3" fillId="0" borderId="7" xfId="1" applyNumberFormat="1" applyFont="1" applyBorder="1" applyAlignment="1" applyProtection="1">
      <alignment horizontal="center"/>
    </xf>
    <xf numFmtId="41" fontId="3" fillId="0" borderId="8" xfId="1" applyNumberFormat="1" applyFont="1" applyBorder="1" applyAlignment="1" applyProtection="1">
      <alignment horizontal="left"/>
    </xf>
    <xf numFmtId="41" fontId="3" fillId="0" borderId="10" xfId="1" applyNumberFormat="1" applyFont="1" applyBorder="1" applyAlignment="1" applyProtection="1">
      <alignment horizontal="center"/>
    </xf>
    <xf numFmtId="41" fontId="3" fillId="0" borderId="10" xfId="1" applyNumberFormat="1" applyFont="1" applyBorder="1" applyAlignment="1" applyProtection="1"/>
    <xf numFmtId="41" fontId="3" fillId="0" borderId="15" xfId="1" applyNumberFormat="1" applyFont="1" applyBorder="1" applyAlignment="1" applyProtection="1"/>
    <xf numFmtId="41" fontId="3" fillId="0" borderId="8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/>
    <xf numFmtId="41" fontId="3" fillId="0" borderId="22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center"/>
    </xf>
    <xf numFmtId="41" fontId="3" fillId="0" borderId="2" xfId="1" applyNumberFormat="1" applyFont="1" applyBorder="1" applyAlignment="1" applyProtection="1"/>
    <xf numFmtId="41" fontId="3" fillId="0" borderId="8" xfId="1" applyNumberFormat="1" applyFont="1" applyBorder="1" applyAlignment="1" applyProtection="1"/>
    <xf numFmtId="41" fontId="3" fillId="0" borderId="34" xfId="1" applyNumberFormat="1" applyFont="1" applyBorder="1" applyAlignment="1" applyProtection="1">
      <alignment horizontal="left"/>
    </xf>
    <xf numFmtId="41" fontId="3" fillId="0" borderId="35" xfId="1" applyNumberFormat="1" applyFont="1" applyBorder="1" applyAlignment="1" applyProtection="1">
      <alignment horizontal="center"/>
    </xf>
    <xf numFmtId="41" fontId="3" fillId="0" borderId="35" xfId="1" applyNumberFormat="1" applyFont="1" applyBorder="1" applyAlignment="1" applyProtection="1"/>
    <xf numFmtId="41" fontId="3" fillId="0" borderId="38" xfId="1" applyNumberFormat="1" applyFont="1" applyBorder="1" applyAlignment="1" applyProtection="1"/>
    <xf numFmtId="41" fontId="3" fillId="0" borderId="3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left"/>
    </xf>
    <xf numFmtId="41" fontId="7" fillId="0" borderId="23" xfId="1" applyNumberFormat="1" applyFont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46" xfId="1" applyNumberFormat="1" applyFont="1" applyFill="1" applyBorder="1" applyAlignment="1" applyProtection="1">
      <alignment horizontal="center"/>
    </xf>
    <xf numFmtId="41" fontId="3" fillId="0" borderId="23" xfId="1" applyNumberFormat="1" applyFont="1" applyFill="1" applyBorder="1" applyAlignment="1" applyProtection="1"/>
    <xf numFmtId="41" fontId="7" fillId="0" borderId="0" xfId="1" applyNumberFormat="1" applyFont="1" applyFill="1" applyAlignment="1" applyProtection="1">
      <alignment horizontal="left"/>
    </xf>
    <xf numFmtId="41" fontId="3" fillId="0" borderId="26" xfId="1" applyNumberFormat="1" applyFont="1" applyFill="1" applyBorder="1" applyAlignment="1" applyProtection="1">
      <alignment horizontal="center"/>
    </xf>
    <xf numFmtId="41" fontId="3" fillId="0" borderId="10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37" xfId="1" applyNumberFormat="1" applyFont="1" applyFill="1" applyBorder="1" applyAlignment="1" applyProtection="1">
      <alignment horizontal="center"/>
    </xf>
    <xf numFmtId="41" fontId="3" fillId="0" borderId="35" xfId="1" applyNumberFormat="1" applyFont="1" applyFill="1" applyBorder="1" applyAlignment="1" applyProtection="1"/>
    <xf numFmtId="41" fontId="3" fillId="0" borderId="0" xfId="1" applyNumberFormat="1" applyFont="1" applyAlignment="1"/>
    <xf numFmtId="41" fontId="3" fillId="0" borderId="1" xfId="1" applyNumberFormat="1" applyFont="1" applyBorder="1" applyAlignment="1" applyProtection="1">
      <protection locked="0"/>
    </xf>
    <xf numFmtId="41" fontId="3" fillId="0" borderId="1" xfId="1" applyNumberFormat="1" applyFont="1" applyBorder="1" applyAlignment="1" applyProtection="1">
      <alignment horizontal="left"/>
      <protection locked="0"/>
    </xf>
    <xf numFmtId="41" fontId="10" fillId="0" borderId="1" xfId="1" applyNumberFormat="1" applyFont="1" applyBorder="1" applyAlignment="1" applyProtection="1">
      <protection locked="0"/>
    </xf>
    <xf numFmtId="41" fontId="3" fillId="0" borderId="4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3" fillId="0" borderId="0" xfId="1" applyNumberFormat="1" applyFont="1" applyBorder="1" applyAlignment="1"/>
    <xf numFmtId="41" fontId="3" fillId="0" borderId="8" xfId="1" applyNumberFormat="1" applyFont="1" applyBorder="1" applyAlignment="1"/>
    <xf numFmtId="41" fontId="3" fillId="0" borderId="23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/>
    <xf numFmtId="41" fontId="3" fillId="0" borderId="10" xfId="1" applyNumberFormat="1" applyFont="1" applyFill="1" applyBorder="1" applyAlignment="1" applyProtection="1">
      <alignment horizontal="center"/>
    </xf>
    <xf numFmtId="41" fontId="3" fillId="0" borderId="26" xfId="1" applyNumberFormat="1" applyFont="1" applyFill="1" applyBorder="1" applyAlignment="1" applyProtection="1"/>
    <xf numFmtId="41" fontId="3" fillId="0" borderId="52" xfId="1" applyNumberFormat="1" applyFont="1" applyFill="1" applyBorder="1" applyAlignment="1" applyProtection="1"/>
    <xf numFmtId="41" fontId="3" fillId="0" borderId="35" xfId="1" applyNumberFormat="1" applyFont="1" applyFill="1" applyBorder="1" applyAlignment="1" applyProtection="1">
      <alignment horizontal="center"/>
    </xf>
    <xf numFmtId="41" fontId="11" fillId="0" borderId="32" xfId="1" applyNumberFormat="1" applyFont="1" applyFill="1" applyBorder="1" applyAlignment="1" applyProtection="1">
      <protection locked="0"/>
    </xf>
    <xf numFmtId="41" fontId="11" fillId="0" borderId="33" xfId="1" applyNumberFormat="1" applyFont="1" applyFill="1" applyBorder="1" applyAlignment="1" applyProtection="1">
      <protection locked="0"/>
    </xf>
    <xf numFmtId="41" fontId="3" fillId="0" borderId="17" xfId="1" applyNumberFormat="1" applyFont="1" applyFill="1" applyBorder="1" applyAlignment="1" applyProtection="1"/>
    <xf numFmtId="41" fontId="3" fillId="0" borderId="14" xfId="1" applyNumberFormat="1" applyFont="1" applyFill="1" applyBorder="1" applyAlignment="1" applyProtection="1"/>
    <xf numFmtId="41" fontId="11" fillId="0" borderId="51" xfId="1" applyNumberFormat="1" applyFont="1" applyFill="1" applyBorder="1" applyAlignment="1" applyProtection="1">
      <protection locked="0"/>
    </xf>
    <xf numFmtId="41" fontId="12" fillId="0" borderId="0" xfId="1" applyNumberFormat="1" applyFont="1" applyFill="1" applyBorder="1" applyAlignment="1" applyProtection="1"/>
    <xf numFmtId="41" fontId="12" fillId="0" borderId="39" xfId="1" applyNumberFormat="1" applyFont="1" applyFill="1" applyBorder="1" applyAlignment="1" applyProtection="1"/>
    <xf numFmtId="41" fontId="3" fillId="0" borderId="50" xfId="1" applyNumberFormat="1" applyFont="1" applyFill="1" applyBorder="1" applyAlignment="1" applyProtection="1"/>
    <xf numFmtId="41" fontId="11" fillId="0" borderId="64" xfId="1" applyNumberFormat="1" applyFont="1" applyFill="1" applyBorder="1" applyAlignment="1" applyProtection="1">
      <protection locked="0"/>
    </xf>
    <xf numFmtId="41" fontId="12" fillId="0" borderId="0" xfId="0" applyNumberFormat="1" applyFont="1" applyBorder="1" applyAlignment="1" applyProtection="1"/>
    <xf numFmtId="41" fontId="12" fillId="0" borderId="39" xfId="0" applyNumberFormat="1" applyFont="1" applyBorder="1" applyAlignment="1" applyProtection="1"/>
    <xf numFmtId="41" fontId="3" fillId="0" borderId="3" xfId="1" applyNumberFormat="1" applyFont="1" applyFill="1" applyBorder="1" applyAlignment="1" applyProtection="1"/>
    <xf numFmtId="41" fontId="12" fillId="0" borderId="0" xfId="0" applyNumberFormat="1" applyFont="1" applyFill="1" applyBorder="1" applyAlignment="1" applyProtection="1"/>
    <xf numFmtId="41" fontId="12" fillId="0" borderId="39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Alignment="1" applyProtection="1"/>
    <xf numFmtId="41" fontId="3" fillId="0" borderId="16" xfId="1" applyNumberFormat="1" applyFont="1" applyFill="1" applyBorder="1" applyAlignment="1" applyProtection="1"/>
    <xf numFmtId="41" fontId="3" fillId="0" borderId="32" xfId="1" applyNumberFormat="1" applyFont="1" applyFill="1" applyBorder="1" applyAlignment="1" applyProtection="1"/>
    <xf numFmtId="41" fontId="3" fillId="0" borderId="33" xfId="1" applyNumberFormat="1" applyFont="1" applyFill="1" applyBorder="1" applyAlignment="1" applyProtection="1"/>
    <xf numFmtId="41" fontId="3" fillId="0" borderId="51" xfId="1" applyNumberFormat="1" applyFont="1" applyFill="1" applyBorder="1" applyAlignment="1" applyProtection="1"/>
    <xf numFmtId="41" fontId="3" fillId="0" borderId="65" xfId="1" applyNumberFormat="1" applyFont="1" applyBorder="1" applyAlignment="1" applyProtection="1"/>
    <xf numFmtId="41" fontId="11" fillId="0" borderId="25" xfId="1" applyNumberFormat="1" applyFont="1" applyFill="1" applyBorder="1" applyAlignment="1" applyProtection="1">
      <protection locked="0"/>
    </xf>
    <xf numFmtId="41" fontId="11" fillId="0" borderId="21" xfId="1" applyNumberFormat="1" applyFont="1" applyFill="1" applyBorder="1" applyAlignment="1" applyProtection="1">
      <protection locked="0"/>
    </xf>
    <xf numFmtId="41" fontId="3" fillId="0" borderId="70" xfId="1" applyNumberFormat="1" applyFont="1" applyFill="1" applyBorder="1" applyAlignment="1" applyProtection="1"/>
    <xf numFmtId="41" fontId="3" fillId="0" borderId="67" xfId="1" applyNumberFormat="1" applyFont="1" applyFill="1" applyBorder="1" applyAlignment="1" applyProtection="1"/>
    <xf numFmtId="41" fontId="11" fillId="0" borderId="25" xfId="0" applyNumberFormat="1" applyFont="1" applyFill="1" applyBorder="1" applyAlignment="1" applyProtection="1">
      <protection locked="0"/>
    </xf>
    <xf numFmtId="41" fontId="11" fillId="0" borderId="21" xfId="0" applyNumberFormat="1" applyFont="1" applyFill="1" applyBorder="1" applyAlignment="1" applyProtection="1">
      <protection locked="0"/>
    </xf>
    <xf numFmtId="41" fontId="11" fillId="0" borderId="37" xfId="0" applyNumberFormat="1" applyFont="1" applyFill="1" applyBorder="1" applyAlignment="1" applyProtection="1">
      <protection locked="0"/>
    </xf>
    <xf numFmtId="41" fontId="11" fillId="0" borderId="13" xfId="1" applyNumberFormat="1" applyFont="1" applyFill="1" applyBorder="1" applyAlignment="1" applyProtection="1">
      <alignment shrinkToFit="1"/>
      <protection locked="0"/>
    </xf>
    <xf numFmtId="41" fontId="11" fillId="0" borderId="21" xfId="1" applyNumberFormat="1" applyFont="1" applyFill="1" applyBorder="1" applyAlignment="1" applyProtection="1">
      <alignment shrinkToFit="1"/>
      <protection locked="0"/>
    </xf>
    <xf numFmtId="41" fontId="11" fillId="0" borderId="25" xfId="1" applyNumberFormat="1" applyFont="1" applyFill="1" applyBorder="1" applyAlignment="1" applyProtection="1">
      <alignment shrinkToFit="1"/>
      <protection locked="0"/>
    </xf>
    <xf numFmtId="41" fontId="3" fillId="0" borderId="57" xfId="1" applyNumberFormat="1" applyFont="1" applyFill="1" applyBorder="1" applyAlignment="1">
      <alignment vertical="center" shrinkToFit="1"/>
    </xf>
    <xf numFmtId="41" fontId="3" fillId="0" borderId="46" xfId="1" applyNumberFormat="1" applyFont="1" applyFill="1" applyBorder="1" applyAlignment="1">
      <alignment vertical="center" shrinkToFit="1"/>
    </xf>
    <xf numFmtId="41" fontId="11" fillId="0" borderId="27" xfId="1" applyNumberFormat="1" applyFont="1" applyFill="1" applyBorder="1" applyAlignment="1" applyProtection="1">
      <alignment shrinkToFit="1"/>
      <protection locked="0"/>
    </xf>
    <xf numFmtId="41" fontId="3" fillId="0" borderId="21" xfId="1" applyNumberFormat="1" applyFont="1" applyFill="1" applyBorder="1" applyAlignment="1">
      <alignment vertical="center" shrinkToFit="1"/>
    </xf>
    <xf numFmtId="41" fontId="11" fillId="0" borderId="58" xfId="1" applyNumberFormat="1" applyFont="1" applyFill="1" applyBorder="1" applyAlignment="1" applyProtection="1">
      <alignment shrinkToFit="1"/>
      <protection locked="0"/>
    </xf>
    <xf numFmtId="41" fontId="11" fillId="0" borderId="46" xfId="1" applyNumberFormat="1" applyFont="1" applyFill="1" applyBorder="1" applyAlignment="1" applyProtection="1">
      <alignment shrinkToFit="1"/>
      <protection locked="0"/>
    </xf>
    <xf numFmtId="41" fontId="11" fillId="0" borderId="16" xfId="1" applyNumberFormat="1" applyFont="1" applyFill="1" applyBorder="1" applyAlignment="1" applyProtection="1">
      <alignment shrinkToFit="1"/>
      <protection locked="0"/>
    </xf>
    <xf numFmtId="41" fontId="11" fillId="0" borderId="57" xfId="1" applyNumberFormat="1" applyFont="1" applyFill="1" applyBorder="1" applyAlignment="1" applyProtection="1">
      <alignment shrinkToFit="1"/>
      <protection locked="0"/>
    </xf>
    <xf numFmtId="41" fontId="3" fillId="0" borderId="16" xfId="1" applyNumberFormat="1" applyFont="1" applyFill="1" applyBorder="1" applyAlignment="1">
      <alignment vertical="center" shrinkToFit="1"/>
    </xf>
    <xf numFmtId="41" fontId="3" fillId="0" borderId="65" xfId="1" applyNumberFormat="1" applyFont="1" applyFill="1" applyBorder="1" applyAlignment="1" applyProtection="1"/>
    <xf numFmtId="41" fontId="3" fillId="0" borderId="53" xfId="1" applyNumberFormat="1" applyFont="1" applyFill="1" applyBorder="1" applyAlignment="1" applyProtection="1"/>
    <xf numFmtId="41" fontId="3" fillId="0" borderId="82" xfId="1" applyNumberFormat="1" applyFont="1" applyFill="1" applyBorder="1" applyAlignment="1" applyProtection="1"/>
    <xf numFmtId="41" fontId="3" fillId="0" borderId="80" xfId="1" applyNumberFormat="1" applyFont="1" applyFill="1" applyBorder="1" applyAlignment="1" applyProtection="1"/>
    <xf numFmtId="0" fontId="8" fillId="0" borderId="0" xfId="0" applyFont="1" applyFill="1" applyAlignment="1"/>
    <xf numFmtId="41" fontId="3" fillId="0" borderId="77" xfId="1" applyNumberFormat="1" applyFont="1" applyFill="1" applyBorder="1" applyAlignment="1" applyProtection="1"/>
    <xf numFmtId="41" fontId="3" fillId="0" borderId="81" xfId="1" applyNumberFormat="1" applyFont="1" applyFill="1" applyBorder="1" applyAlignment="1" applyProtection="1"/>
    <xf numFmtId="180" fontId="3" fillId="0" borderId="0" xfId="1" applyNumberFormat="1" applyFont="1" applyFill="1" applyAlignment="1" applyProtection="1"/>
    <xf numFmtId="41" fontId="3" fillId="0" borderId="83" xfId="1" applyNumberFormat="1" applyFont="1" applyBorder="1" applyAlignment="1" applyProtection="1"/>
    <xf numFmtId="0" fontId="8" fillId="0" borderId="0" xfId="0" applyFont="1" applyAlignment="1">
      <alignment horizontal="right"/>
    </xf>
    <xf numFmtId="41" fontId="9" fillId="0" borderId="0" xfId="1" applyNumberFormat="1" applyFont="1" applyAlignment="1" applyProtection="1">
      <alignment horizontal="center"/>
      <protection locked="0"/>
    </xf>
    <xf numFmtId="41" fontId="11" fillId="0" borderId="57" xfId="0" applyNumberFormat="1" applyFont="1" applyFill="1" applyBorder="1" applyAlignment="1" applyProtection="1">
      <protection locked="0"/>
    </xf>
    <xf numFmtId="41" fontId="11" fillId="0" borderId="68" xfId="0" applyNumberFormat="1" applyFont="1" applyFill="1" applyBorder="1" applyAlignment="1" applyProtection="1">
      <protection locked="0"/>
    </xf>
    <xf numFmtId="41" fontId="11" fillId="0" borderId="26" xfId="1" applyNumberFormat="1" applyFont="1" applyFill="1" applyBorder="1" applyAlignment="1" applyProtection="1">
      <alignment shrinkToFit="1"/>
    </xf>
    <xf numFmtId="41" fontId="11" fillId="0" borderId="25" xfId="1" applyNumberFormat="1" applyFont="1" applyFill="1" applyBorder="1" applyAlignment="1" applyProtection="1">
      <alignment shrinkToFit="1"/>
    </xf>
    <xf numFmtId="41" fontId="3" fillId="0" borderId="4" xfId="1" applyNumberFormat="1" applyFont="1" applyFill="1" applyBorder="1" applyAlignment="1" applyProtection="1">
      <alignment horizontal="center"/>
    </xf>
    <xf numFmtId="41" fontId="11" fillId="0" borderId="32" xfId="0" applyNumberFormat="1" applyFont="1" applyFill="1" applyBorder="1" applyAlignment="1" applyProtection="1"/>
    <xf numFmtId="41" fontId="11" fillId="0" borderId="33" xfId="0" applyNumberFormat="1" applyFont="1" applyFill="1" applyBorder="1" applyAlignment="1" applyProtection="1"/>
    <xf numFmtId="41" fontId="11" fillId="0" borderId="32" xfId="1" applyNumberFormat="1" applyFont="1" applyFill="1" applyBorder="1" applyAlignment="1" applyProtection="1"/>
    <xf numFmtId="41" fontId="11" fillId="0" borderId="33" xfId="1" applyNumberFormat="1" applyFont="1" applyFill="1" applyBorder="1" applyAlignment="1" applyProtection="1"/>
    <xf numFmtId="41" fontId="11" fillId="0" borderId="0" xfId="1" applyNumberFormat="1" applyFont="1" applyFill="1" applyBorder="1" applyAlignment="1" applyProtection="1"/>
    <xf numFmtId="41" fontId="11" fillId="0" borderId="39" xfId="1" applyNumberFormat="1" applyFont="1" applyFill="1" applyBorder="1" applyAlignment="1" applyProtection="1"/>
    <xf numFmtId="41" fontId="3" fillId="0" borderId="41" xfId="1" applyNumberFormat="1" applyFont="1" applyFill="1" applyBorder="1" applyAlignment="1">
      <alignment vertical="center" shrinkToFit="1"/>
    </xf>
    <xf numFmtId="41" fontId="11" fillId="0" borderId="77" xfId="1" applyNumberFormat="1" applyFont="1" applyFill="1" applyBorder="1" applyAlignment="1" applyProtection="1">
      <protection locked="0"/>
    </xf>
    <xf numFmtId="41" fontId="11" fillId="0" borderId="47" xfId="1" applyNumberFormat="1" applyFont="1" applyFill="1" applyBorder="1" applyAlignment="1" applyProtection="1"/>
    <xf numFmtId="41" fontId="11" fillId="0" borderId="75" xfId="1" applyNumberFormat="1" applyFont="1" applyFill="1" applyBorder="1" applyAlignment="1" applyProtection="1"/>
    <xf numFmtId="41" fontId="11" fillId="0" borderId="51" xfId="1" applyNumberFormat="1" applyFont="1" applyFill="1" applyBorder="1" applyAlignment="1" applyProtection="1"/>
    <xf numFmtId="41" fontId="3" fillId="0" borderId="88" xfId="1" applyNumberFormat="1" applyFont="1" applyFill="1" applyBorder="1" applyAlignment="1">
      <alignment vertical="center" shrinkToFit="1"/>
    </xf>
    <xf numFmtId="41" fontId="11" fillId="0" borderId="59" xfId="1" applyNumberFormat="1" applyFont="1" applyFill="1" applyBorder="1" applyAlignment="1" applyProtection="1"/>
    <xf numFmtId="41" fontId="11" fillId="0" borderId="79" xfId="1" applyNumberFormat="1" applyFont="1" applyFill="1" applyBorder="1" applyAlignment="1" applyProtection="1">
      <alignment shrinkToFit="1"/>
      <protection locked="0"/>
    </xf>
    <xf numFmtId="41" fontId="11" fillId="0" borderId="0" xfId="1" applyNumberFormat="1" applyFont="1" applyFill="1" applyBorder="1" applyAlignment="1" applyProtection="1">
      <alignment shrinkToFit="1"/>
    </xf>
    <xf numFmtId="41" fontId="11" fillId="0" borderId="89" xfId="1" applyNumberFormat="1" applyFont="1" applyFill="1" applyBorder="1" applyAlignment="1" applyProtection="1">
      <alignment shrinkToFit="1"/>
    </xf>
    <xf numFmtId="41" fontId="11" fillId="0" borderId="56" xfId="1" applyNumberFormat="1" applyFont="1" applyFill="1" applyBorder="1" applyAlignment="1" applyProtection="1"/>
    <xf numFmtId="41" fontId="11" fillId="0" borderId="76" xfId="1" applyNumberFormat="1" applyFont="1" applyFill="1" applyBorder="1" applyAlignment="1" applyProtection="1"/>
    <xf numFmtId="41" fontId="11" fillId="0" borderId="74" xfId="1" applyNumberFormat="1" applyFont="1" applyFill="1" applyBorder="1" applyAlignment="1" applyProtection="1"/>
    <xf numFmtId="41" fontId="11" fillId="0" borderId="73" xfId="1" applyNumberFormat="1" applyFont="1" applyFill="1" applyBorder="1" applyAlignment="1" applyProtection="1"/>
    <xf numFmtId="41" fontId="3" fillId="0" borderId="32" xfId="1" applyNumberFormat="1" applyFont="1" applyFill="1" applyBorder="1" applyAlignment="1" applyProtection="1">
      <protection locked="0"/>
    </xf>
    <xf numFmtId="41" fontId="3" fillId="0" borderId="33" xfId="1" applyNumberFormat="1" applyFont="1" applyFill="1" applyBorder="1" applyAlignment="1" applyProtection="1">
      <protection locked="0"/>
    </xf>
    <xf numFmtId="41" fontId="3" fillId="0" borderId="51" xfId="1" applyNumberFormat="1" applyFont="1" applyFill="1" applyBorder="1" applyAlignment="1" applyProtection="1">
      <protection locked="0"/>
    </xf>
    <xf numFmtId="41" fontId="3" fillId="0" borderId="39" xfId="1" applyNumberFormat="1" applyFont="1" applyFill="1" applyBorder="1" applyAlignment="1" applyProtection="1"/>
    <xf numFmtId="41" fontId="3" fillId="0" borderId="77" xfId="1" applyNumberFormat="1" applyFont="1" applyFill="1" applyBorder="1" applyAlignment="1" applyProtection="1">
      <protection locked="0"/>
    </xf>
    <xf numFmtId="177" fontId="3" fillId="0" borderId="73" xfId="1" applyNumberFormat="1" applyFont="1" applyFill="1" applyBorder="1" applyAlignment="1" applyProtection="1">
      <alignment shrinkToFit="1"/>
    </xf>
    <xf numFmtId="177" fontId="3" fillId="0" borderId="32" xfId="1" applyNumberFormat="1" applyFont="1" applyFill="1" applyBorder="1" applyAlignment="1" applyProtection="1">
      <alignment shrinkToFit="1"/>
    </xf>
    <xf numFmtId="178" fontId="3" fillId="0" borderId="51" xfId="1" applyNumberFormat="1" applyFont="1" applyFill="1" applyBorder="1" applyAlignment="1" applyProtection="1">
      <alignment shrinkToFit="1"/>
    </xf>
    <xf numFmtId="41" fontId="11" fillId="0" borderId="68" xfId="1" applyNumberFormat="1" applyFont="1" applyFill="1" applyBorder="1" applyAlignment="1" applyProtection="1"/>
    <xf numFmtId="41" fontId="3" fillId="0" borderId="0" xfId="0" applyNumberFormat="1" applyFont="1" applyFill="1" applyBorder="1" applyAlignment="1" applyProtection="1"/>
    <xf numFmtId="41" fontId="11" fillId="0" borderId="27" xfId="0" applyNumberFormat="1" applyFont="1" applyFill="1" applyBorder="1" applyAlignment="1" applyProtection="1">
      <protection locked="0"/>
    </xf>
    <xf numFmtId="41" fontId="11" fillId="0" borderId="26" xfId="0" applyNumberFormat="1" applyFont="1" applyFill="1" applyBorder="1" applyAlignment="1" applyProtection="1">
      <protection locked="0"/>
    </xf>
    <xf numFmtId="177" fontId="3" fillId="0" borderId="26" xfId="1" applyNumberFormat="1" applyFont="1" applyFill="1" applyBorder="1" applyAlignment="1" applyProtection="1">
      <alignment shrinkToFit="1"/>
    </xf>
    <xf numFmtId="177" fontId="3" fillId="0" borderId="25" xfId="1" applyNumberFormat="1" applyFont="1" applyFill="1" applyBorder="1" applyAlignment="1" applyProtection="1">
      <alignment shrinkToFit="1"/>
    </xf>
    <xf numFmtId="178" fontId="3" fillId="0" borderId="37" xfId="1" applyNumberFormat="1" applyFont="1" applyFill="1" applyBorder="1" applyAlignment="1" applyProtection="1">
      <alignment shrinkToFit="1"/>
    </xf>
    <xf numFmtId="41" fontId="11" fillId="0" borderId="37" xfId="1" applyNumberFormat="1" applyFont="1" applyFill="1" applyBorder="1" applyAlignment="1" applyProtection="1">
      <alignment shrinkToFit="1"/>
    </xf>
    <xf numFmtId="41" fontId="11" fillId="0" borderId="25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/>
    <xf numFmtId="41" fontId="11" fillId="0" borderId="26" xfId="1" applyNumberFormat="1" applyFont="1" applyFill="1" applyBorder="1" applyAlignment="1" applyProtection="1"/>
    <xf numFmtId="41" fontId="11" fillId="0" borderId="25" xfId="1" applyNumberFormat="1" applyFont="1" applyFill="1" applyBorder="1" applyAlignment="1" applyProtection="1"/>
    <xf numFmtId="41" fontId="11" fillId="0" borderId="37" xfId="1" applyNumberFormat="1" applyFont="1" applyFill="1" applyBorder="1" applyAlignment="1" applyProtection="1"/>
    <xf numFmtId="41" fontId="11" fillId="0" borderId="14" xfId="1" applyNumberFormat="1" applyFont="1" applyFill="1" applyBorder="1" applyAlignment="1" applyProtection="1">
      <alignment shrinkToFit="1"/>
    </xf>
    <xf numFmtId="41" fontId="11" fillId="0" borderId="37" xfId="0" applyNumberFormat="1" applyFont="1" applyFill="1" applyBorder="1" applyAlignment="1" applyProtection="1">
      <alignment shrinkToFit="1"/>
    </xf>
    <xf numFmtId="41" fontId="11" fillId="0" borderId="14" xfId="0" applyNumberFormat="1" applyFont="1" applyFill="1" applyBorder="1" applyAlignment="1" applyProtection="1"/>
    <xf numFmtId="41" fontId="11" fillId="0" borderId="68" xfId="0" applyNumberFormat="1" applyFont="1" applyFill="1" applyBorder="1" applyAlignment="1" applyProtection="1"/>
    <xf numFmtId="41" fontId="11" fillId="0" borderId="37" xfId="0" applyNumberFormat="1" applyFont="1" applyFill="1" applyBorder="1" applyAlignment="1" applyProtection="1"/>
    <xf numFmtId="41" fontId="11" fillId="0" borderId="14" xfId="1" applyNumberFormat="1" applyFont="1" applyFill="1" applyBorder="1" applyAlignment="1" applyProtection="1"/>
    <xf numFmtId="41" fontId="11" fillId="0" borderId="72" xfId="0" applyNumberFormat="1" applyFont="1" applyFill="1" applyBorder="1" applyAlignment="1" applyProtection="1">
      <protection locked="0"/>
    </xf>
    <xf numFmtId="179" fontId="3" fillId="0" borderId="0" xfId="1" applyNumberFormat="1" applyFont="1" applyFill="1" applyAlignment="1" applyProtection="1"/>
    <xf numFmtId="181" fontId="3" fillId="0" borderId="0" xfId="1" applyNumberFormat="1" applyFont="1" applyFill="1" applyAlignment="1" applyProtection="1"/>
    <xf numFmtId="176" fontId="3" fillId="0" borderId="26" xfId="1" applyNumberFormat="1" applyFont="1" applyFill="1" applyBorder="1" applyAlignment="1" applyProtection="1"/>
    <xf numFmtId="41" fontId="3" fillId="0" borderId="73" xfId="1" applyNumberFormat="1" applyFont="1" applyFill="1" applyBorder="1" applyAlignment="1" applyProtection="1"/>
    <xf numFmtId="176" fontId="3" fillId="0" borderId="10" xfId="1" applyNumberFormat="1" applyFont="1" applyFill="1" applyBorder="1" applyAlignment="1" applyProtection="1"/>
    <xf numFmtId="41" fontId="9" fillId="0" borderId="0" xfId="1" applyNumberFormat="1" applyFont="1" applyFill="1" applyAlignment="1" applyProtection="1">
      <alignment horizontal="center"/>
      <protection locked="0"/>
    </xf>
    <xf numFmtId="41" fontId="13" fillId="0" borderId="0" xfId="1" applyNumberFormat="1" applyFont="1" applyFill="1" applyAlignment="1" applyProtection="1">
      <alignment horizontal="center"/>
    </xf>
    <xf numFmtId="41" fontId="3" fillId="0" borderId="1" xfId="1" applyNumberFormat="1" applyFont="1" applyFill="1" applyBorder="1" applyAlignment="1" applyProtection="1">
      <alignment horizontal="left"/>
    </xf>
    <xf numFmtId="41" fontId="5" fillId="0" borderId="0" xfId="1" applyNumberFormat="1" applyFont="1" applyFill="1" applyAlignment="1" applyProtection="1"/>
    <xf numFmtId="41" fontId="3" fillId="0" borderId="2" xfId="1" applyNumberFormat="1" applyFont="1" applyFill="1" applyBorder="1" applyAlignment="1" applyProtection="1">
      <alignment horizontal="center"/>
    </xf>
    <xf numFmtId="41" fontId="3" fillId="0" borderId="3" xfId="1" applyNumberFormat="1" applyFont="1" applyFill="1" applyBorder="1" applyAlignment="1" applyProtection="1">
      <alignment horizontal="center"/>
    </xf>
    <xf numFmtId="41" fontId="3" fillId="0" borderId="4" xfId="1" applyNumberFormat="1" applyFont="1" applyFill="1" applyBorder="1" applyAlignment="1">
      <alignment horizontal="center"/>
    </xf>
    <xf numFmtId="41" fontId="3" fillId="0" borderId="5" xfId="1" applyNumberFormat="1" applyFont="1" applyFill="1" applyBorder="1" applyAlignment="1" applyProtection="1">
      <alignment horizontal="center"/>
    </xf>
    <xf numFmtId="41" fontId="3" fillId="0" borderId="6" xfId="1" applyNumberFormat="1" applyFont="1" applyFill="1" applyBorder="1" applyAlignment="1">
      <alignment horizontal="center"/>
    </xf>
    <xf numFmtId="41" fontId="3" fillId="0" borderId="7" xfId="1" applyNumberFormat="1" applyFont="1" applyFill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>
      <alignment horizontal="left"/>
    </xf>
    <xf numFmtId="41" fontId="3" fillId="0" borderId="13" xfId="0" applyNumberFormat="1" applyFont="1" applyFill="1" applyBorder="1" applyAlignment="1" applyProtection="1"/>
    <xf numFmtId="41" fontId="11" fillId="0" borderId="11" xfId="0" applyNumberFormat="1" applyFont="1" applyFill="1" applyBorder="1" applyAlignment="1" applyProtection="1">
      <protection locked="0"/>
    </xf>
    <xf numFmtId="41" fontId="3" fillId="0" borderId="15" xfId="1" applyNumberFormat="1" applyFont="1" applyFill="1" applyBorder="1" applyAlignment="1" applyProtection="1"/>
    <xf numFmtId="41" fontId="3" fillId="0" borderId="8" xfId="1" applyNumberFormat="1" applyFont="1" applyFill="1" applyBorder="1" applyAlignment="1" applyProtection="1">
      <alignment horizontal="center"/>
    </xf>
    <xf numFmtId="41" fontId="3" fillId="0" borderId="17" xfId="1" applyNumberFormat="1" applyFont="1" applyFill="1" applyBorder="1" applyAlignment="1" applyProtection="1">
      <alignment horizontal="center"/>
    </xf>
    <xf numFmtId="41" fontId="3" fillId="0" borderId="21" xfId="0" applyNumberFormat="1" applyFont="1" applyFill="1" applyBorder="1" applyAlignment="1" applyProtection="1"/>
    <xf numFmtId="41" fontId="11" fillId="0" borderId="20" xfId="0" applyNumberFormat="1" applyFont="1" applyFill="1" applyBorder="1" applyAlignment="1" applyProtection="1">
      <protection locked="0"/>
    </xf>
    <xf numFmtId="41" fontId="3" fillId="0" borderId="22" xfId="1" applyNumberFormat="1" applyFont="1" applyFill="1" applyBorder="1" applyAlignment="1" applyProtection="1"/>
    <xf numFmtId="41" fontId="3" fillId="0" borderId="25" xfId="0" applyNumberFormat="1" applyFont="1" applyFill="1" applyBorder="1" applyAlignment="1" applyProtection="1"/>
    <xf numFmtId="41" fontId="3" fillId="0" borderId="79" xfId="1" applyNumberFormat="1" applyFont="1" applyFill="1" applyBorder="1" applyAlignment="1" applyProtection="1"/>
    <xf numFmtId="41" fontId="3" fillId="0" borderId="2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>
      <alignment horizontal="left"/>
    </xf>
    <xf numFmtId="41" fontId="3" fillId="0" borderId="37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>
      <protection locked="0"/>
    </xf>
    <xf numFmtId="41" fontId="3" fillId="0" borderId="38" xfId="1" applyNumberFormat="1" applyFont="1" applyFill="1" applyBorder="1" applyAlignment="1" applyProtection="1"/>
    <xf numFmtId="41" fontId="3" fillId="0" borderId="39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>
      <alignment horizontal="right"/>
      <protection locked="0"/>
    </xf>
    <xf numFmtId="41" fontId="3" fillId="0" borderId="6" xfId="1" applyNumberFormat="1" applyFont="1" applyFill="1" applyBorder="1" applyAlignment="1" applyProtection="1"/>
    <xf numFmtId="41" fontId="3" fillId="0" borderId="43" xfId="0" applyNumberFormat="1" applyFont="1" applyFill="1" applyBorder="1" applyAlignment="1" applyProtection="1"/>
    <xf numFmtId="41" fontId="3" fillId="0" borderId="16" xfId="1" applyNumberFormat="1" applyFont="1" applyFill="1" applyBorder="1" applyAlignment="1" applyProtection="1">
      <alignment horizontal="center"/>
    </xf>
    <xf numFmtId="41" fontId="3" fillId="0" borderId="42" xfId="0" applyNumberFormat="1" applyFont="1" applyFill="1" applyBorder="1" applyAlignment="1" applyProtection="1"/>
    <xf numFmtId="41" fontId="3" fillId="0" borderId="69" xfId="1" applyNumberFormat="1" applyFont="1" applyFill="1" applyBorder="1" applyAlignment="1" applyProtection="1">
      <alignment horizontal="left"/>
    </xf>
    <xf numFmtId="41" fontId="3" fillId="0" borderId="70" xfId="1" applyNumberFormat="1" applyFont="1" applyFill="1" applyBorder="1" applyAlignment="1" applyProtection="1">
      <alignment horizontal="left"/>
    </xf>
    <xf numFmtId="41" fontId="3" fillId="0" borderId="70" xfId="1" applyNumberFormat="1" applyFont="1" applyFill="1" applyBorder="1" applyAlignment="1" applyProtection="1">
      <alignment horizontal="center"/>
    </xf>
    <xf numFmtId="41" fontId="3" fillId="0" borderId="83" xfId="1" applyNumberFormat="1" applyFont="1" applyFill="1" applyBorder="1" applyAlignment="1" applyProtection="1"/>
    <xf numFmtId="41" fontId="3" fillId="0" borderId="0" xfId="1" applyNumberFormat="1" applyFont="1" applyFill="1" applyBorder="1" applyAlignment="1" applyProtection="1">
      <alignment horizontal="center"/>
    </xf>
    <xf numFmtId="41" fontId="3" fillId="0" borderId="84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>
      <protection locked="0"/>
    </xf>
    <xf numFmtId="41" fontId="3" fillId="0" borderId="85" xfId="0" applyNumberFormat="1" applyFont="1" applyFill="1" applyBorder="1" applyAlignment="1" applyProtection="1">
      <protection locked="0"/>
    </xf>
    <xf numFmtId="41" fontId="3" fillId="0" borderId="86" xfId="0" applyNumberFormat="1" applyFont="1" applyFill="1" applyBorder="1" applyAlignment="1" applyProtection="1"/>
    <xf numFmtId="41" fontId="3" fillId="0" borderId="0" xfId="1" applyNumberFormat="1" applyFont="1" applyFill="1" applyBorder="1" applyAlignment="1" applyProtection="1">
      <alignment horizontal="left"/>
    </xf>
    <xf numFmtId="41" fontId="7" fillId="0" borderId="0" xfId="1" applyNumberFormat="1" applyFont="1" applyFill="1" applyBorder="1" applyAlignment="1" applyProtection="1">
      <alignment horizontal="center"/>
    </xf>
    <xf numFmtId="41" fontId="3" fillId="0" borderId="66" xfId="1" applyNumberFormat="1" applyFont="1" applyFill="1" applyBorder="1" applyAlignment="1" applyProtection="1"/>
    <xf numFmtId="41" fontId="12" fillId="0" borderId="11" xfId="0" applyNumberFormat="1" applyFont="1" applyFill="1" applyBorder="1" applyAlignment="1" applyProtection="1"/>
    <xf numFmtId="41" fontId="3" fillId="0" borderId="87" xfId="0" applyNumberFormat="1" applyFont="1" applyFill="1" applyBorder="1" applyAlignment="1" applyProtection="1"/>
    <xf numFmtId="0" fontId="8" fillId="0" borderId="0" xfId="0" applyFont="1" applyFill="1" applyAlignment="1">
      <alignment horizontal="right"/>
    </xf>
    <xf numFmtId="41" fontId="3" fillId="0" borderId="33" xfId="1" applyNumberFormat="1" applyFont="1" applyFill="1" applyBorder="1" applyAlignment="1">
      <alignment vertical="center" shrinkToFit="1"/>
    </xf>
    <xf numFmtId="41" fontId="3" fillId="0" borderId="51" xfId="1" applyNumberFormat="1" applyFont="1" applyFill="1" applyBorder="1" applyAlignment="1">
      <alignment vertical="center" shrinkToFit="1"/>
    </xf>
    <xf numFmtId="41" fontId="11" fillId="0" borderId="71" xfId="0" applyNumberFormat="1" applyFont="1" applyFill="1" applyBorder="1" applyAlignment="1" applyProtection="1">
      <protection locked="0"/>
    </xf>
    <xf numFmtId="41" fontId="3" fillId="0" borderId="23" xfId="1" applyNumberFormat="1" applyFont="1" applyFill="1" applyBorder="1" applyAlignment="1" applyProtection="1">
      <alignment horizontal="left"/>
    </xf>
    <xf numFmtId="41" fontId="7" fillId="0" borderId="23" xfId="1" applyNumberFormat="1" applyFont="1" applyFill="1" applyBorder="1" applyAlignment="1" applyProtection="1">
      <alignment horizontal="center"/>
    </xf>
    <xf numFmtId="41" fontId="11" fillId="0" borderId="24" xfId="1" applyNumberFormat="1" applyFont="1" applyFill="1" applyBorder="1" applyAlignment="1" applyProtection="1">
      <protection locked="0"/>
    </xf>
    <xf numFmtId="41" fontId="11" fillId="0" borderId="19" xfId="1" applyNumberFormat="1" applyFont="1" applyFill="1" applyBorder="1" applyAlignment="1" applyProtection="1">
      <protection locked="0"/>
    </xf>
    <xf numFmtId="41" fontId="3" fillId="0" borderId="49" xfId="2" applyNumberFormat="1" applyFont="1" applyFill="1" applyBorder="1" applyAlignment="1">
      <alignment vertical="center" shrinkToFit="1"/>
    </xf>
    <xf numFmtId="41" fontId="3" fillId="0" borderId="49" xfId="2" applyNumberFormat="1" applyFont="1" applyFill="1" applyBorder="1">
      <alignment vertical="center"/>
    </xf>
    <xf numFmtId="41" fontId="3" fillId="0" borderId="19" xfId="1" applyNumberFormat="1" applyFont="1" applyFill="1" applyBorder="1" applyAlignment="1">
      <alignment vertical="center" shrinkToFit="1"/>
    </xf>
    <xf numFmtId="41" fontId="3" fillId="0" borderId="92" xfId="2" applyNumberFormat="1" applyFont="1" applyFill="1" applyBorder="1">
      <alignment vertical="center"/>
    </xf>
    <xf numFmtId="41" fontId="11" fillId="0" borderId="93" xfId="1" applyNumberFormat="1" applyFont="1" applyFill="1" applyBorder="1" applyAlignment="1" applyProtection="1">
      <protection locked="0"/>
    </xf>
    <xf numFmtId="41" fontId="11" fillId="0" borderId="24" xfId="1" applyNumberFormat="1" applyFont="1" applyFill="1" applyBorder="1" applyAlignment="1" applyProtection="1"/>
    <xf numFmtId="41" fontId="11" fillId="0" borderId="36" xfId="1" applyNumberFormat="1" applyFont="1" applyFill="1" applyBorder="1" applyAlignment="1" applyProtection="1"/>
    <xf numFmtId="41" fontId="3" fillId="0" borderId="20" xfId="1" applyNumberFormat="1" applyFont="1" applyFill="1" applyBorder="1" applyAlignment="1">
      <alignment vertical="center" shrinkToFit="1"/>
    </xf>
    <xf numFmtId="41" fontId="11" fillId="0" borderId="11" xfId="1" applyNumberFormat="1" applyFont="1" applyFill="1" applyBorder="1" applyAlignment="1" applyProtection="1">
      <protection locked="0"/>
    </xf>
    <xf numFmtId="41" fontId="11" fillId="0" borderId="20" xfId="1" applyNumberFormat="1" applyFont="1" applyFill="1" applyBorder="1" applyAlignment="1" applyProtection="1">
      <protection locked="0"/>
    </xf>
    <xf numFmtId="41" fontId="11" fillId="0" borderId="52" xfId="1" applyNumberFormat="1" applyFont="1" applyFill="1" applyBorder="1" applyAlignment="1" applyProtection="1">
      <protection locked="0"/>
    </xf>
    <xf numFmtId="41" fontId="3" fillId="0" borderId="6" xfId="1" applyNumberFormat="1" applyFont="1" applyFill="1" applyBorder="1" applyAlignment="1" applyProtection="1">
      <alignment horizontal="center"/>
    </xf>
    <xf numFmtId="41" fontId="11" fillId="0" borderId="44" xfId="1" applyNumberFormat="1" applyFont="1" applyFill="1" applyBorder="1" applyAlignment="1" applyProtection="1">
      <protection locked="0"/>
    </xf>
    <xf numFmtId="41" fontId="11" fillId="0" borderId="48" xfId="1" applyNumberFormat="1" applyFont="1" applyFill="1" applyBorder="1" applyAlignment="1" applyProtection="1">
      <protection locked="0"/>
    </xf>
    <xf numFmtId="41" fontId="11" fillId="0" borderId="45" xfId="1" applyNumberFormat="1" applyFont="1" applyFill="1" applyBorder="1" applyAlignment="1" applyProtection="1">
      <protection locked="0"/>
    </xf>
    <xf numFmtId="41" fontId="3" fillId="0" borderId="60" xfId="1" applyNumberFormat="1" applyFont="1" applyFill="1" applyBorder="1" applyAlignment="1">
      <alignment vertical="center" shrinkToFit="1"/>
    </xf>
    <xf numFmtId="41" fontId="3" fillId="0" borderId="0" xfId="1" applyNumberFormat="1" applyFont="1" applyFill="1" applyAlignment="1">
      <alignment vertical="center" shrinkToFit="1"/>
    </xf>
    <xf numFmtId="41" fontId="11" fillId="0" borderId="12" xfId="1" applyNumberFormat="1" applyFont="1" applyFill="1" applyBorder="1" applyAlignment="1" applyProtection="1">
      <protection locked="0"/>
    </xf>
    <xf numFmtId="41" fontId="3" fillId="0" borderId="96" xfId="1" applyNumberFormat="1" applyFont="1" applyFill="1" applyBorder="1" applyAlignment="1">
      <alignment vertical="center" shrinkToFit="1"/>
    </xf>
    <xf numFmtId="41" fontId="3" fillId="0" borderId="61" xfId="1" applyNumberFormat="1" applyFont="1" applyFill="1" applyBorder="1" applyAlignment="1">
      <alignment vertical="center" shrinkToFit="1"/>
    </xf>
    <xf numFmtId="41" fontId="3" fillId="0" borderId="97" xfId="1" applyNumberFormat="1" applyFont="1" applyFill="1" applyBorder="1" applyAlignment="1">
      <alignment vertical="center" shrinkToFit="1"/>
    </xf>
    <xf numFmtId="41" fontId="11" fillId="0" borderId="90" xfId="1" applyNumberFormat="1" applyFont="1" applyFill="1" applyBorder="1" applyAlignment="1" applyProtection="1">
      <protection locked="0"/>
    </xf>
    <xf numFmtId="41" fontId="3" fillId="0" borderId="91" xfId="1" applyNumberFormat="1" applyFont="1" applyFill="1" applyBorder="1" applyAlignment="1">
      <alignment vertical="center" shrinkToFit="1"/>
    </xf>
    <xf numFmtId="41" fontId="11" fillId="0" borderId="62" xfId="1" applyNumberFormat="1" applyFont="1" applyFill="1" applyBorder="1" applyAlignment="1" applyProtection="1"/>
    <xf numFmtId="41" fontId="11" fillId="0" borderId="0" xfId="1" applyNumberFormat="1" applyFont="1" applyFill="1" applyBorder="1" applyAlignment="1" applyProtection="1">
      <protection locked="0"/>
    </xf>
    <xf numFmtId="41" fontId="11" fillId="0" borderId="31" xfId="1" applyNumberFormat="1" applyFont="1" applyFill="1" applyBorder="1" applyAlignment="1" applyProtection="1">
      <protection locked="0"/>
    </xf>
    <xf numFmtId="41" fontId="11" fillId="0" borderId="13" xfId="1" applyNumberFormat="1" applyFont="1" applyFill="1" applyBorder="1" applyAlignment="1" applyProtection="1">
      <protection locked="0"/>
    </xf>
    <xf numFmtId="41" fontId="3" fillId="0" borderId="63" xfId="1" applyNumberFormat="1" applyFont="1" applyFill="1" applyBorder="1" applyAlignment="1">
      <alignment vertical="center" shrinkToFit="1"/>
    </xf>
    <xf numFmtId="41" fontId="11" fillId="0" borderId="27" xfId="1" applyNumberFormat="1" applyFont="1" applyFill="1" applyBorder="1" applyAlignment="1" applyProtection="1">
      <protection locked="0"/>
    </xf>
    <xf numFmtId="41" fontId="11" fillId="0" borderId="30" xfId="1" applyNumberFormat="1" applyFont="1" applyFill="1" applyBorder="1" applyAlignment="1" applyProtection="1">
      <protection locked="0"/>
    </xf>
    <xf numFmtId="41" fontId="11" fillId="0" borderId="60" xfId="1" applyNumberFormat="1" applyFont="1" applyFill="1" applyBorder="1" applyAlignment="1" applyProtection="1">
      <protection locked="0"/>
    </xf>
    <xf numFmtId="41" fontId="11" fillId="0" borderId="14" xfId="1" applyNumberFormat="1" applyFont="1" applyFill="1" applyBorder="1" applyAlignment="1" applyProtection="1">
      <protection locked="0"/>
    </xf>
    <xf numFmtId="41" fontId="11" fillId="0" borderId="94" xfId="1" applyNumberFormat="1" applyFont="1" applyFill="1" applyBorder="1" applyAlignment="1" applyProtection="1">
      <alignment shrinkToFit="1"/>
      <protection locked="0"/>
    </xf>
    <xf numFmtId="41" fontId="11" fillId="0" borderId="25" xfId="0" applyNumberFormat="1" applyFont="1" applyFill="1" applyBorder="1" applyAlignment="1" applyProtection="1">
      <alignment shrinkToFit="1"/>
      <protection locked="0"/>
    </xf>
    <xf numFmtId="41" fontId="11" fillId="0" borderId="13" xfId="0" applyNumberFormat="1" applyFont="1" applyFill="1" applyBorder="1" applyAlignment="1" applyProtection="1">
      <alignment shrinkToFit="1"/>
      <protection locked="0"/>
    </xf>
    <xf numFmtId="41" fontId="11" fillId="0" borderId="19" xfId="1" applyNumberFormat="1" applyFont="1" applyFill="1" applyBorder="1" applyAlignment="1" applyProtection="1">
      <alignment shrinkToFit="1"/>
      <protection locked="0"/>
    </xf>
    <xf numFmtId="41" fontId="11" fillId="0" borderId="21" xfId="0" applyNumberFormat="1" applyFont="1" applyFill="1" applyBorder="1" applyAlignment="1" applyProtection="1">
      <alignment shrinkToFit="1"/>
      <protection locked="0"/>
    </xf>
    <xf numFmtId="41" fontId="11" fillId="0" borderId="24" xfId="1" applyNumberFormat="1" applyFont="1" applyFill="1" applyBorder="1" applyAlignment="1" applyProtection="1">
      <alignment shrinkToFit="1"/>
      <protection locked="0"/>
    </xf>
    <xf numFmtId="41" fontId="11" fillId="0" borderId="57" xfId="0" applyNumberFormat="1" applyFont="1" applyFill="1" applyBorder="1" applyAlignment="1" applyProtection="1">
      <alignment shrinkToFit="1"/>
      <protection locked="0"/>
    </xf>
    <xf numFmtId="41" fontId="11" fillId="0" borderId="36" xfId="1" applyNumberFormat="1" applyFont="1" applyFill="1" applyBorder="1" applyAlignment="1" applyProtection="1">
      <alignment shrinkToFit="1"/>
      <protection locked="0"/>
    </xf>
    <xf numFmtId="41" fontId="11" fillId="0" borderId="37" xfId="0" applyNumberFormat="1" applyFont="1" applyFill="1" applyBorder="1" applyAlignment="1" applyProtection="1">
      <alignment shrinkToFit="1"/>
      <protection locked="0"/>
    </xf>
    <xf numFmtId="41" fontId="11" fillId="0" borderId="43" xfId="1" applyNumberFormat="1" applyFont="1" applyFill="1" applyBorder="1" applyAlignment="1" applyProtection="1">
      <alignment shrinkToFit="1"/>
      <protection locked="0"/>
    </xf>
    <xf numFmtId="41" fontId="11" fillId="0" borderId="42" xfId="1" applyNumberFormat="1" applyFont="1" applyFill="1" applyBorder="1" applyAlignment="1" applyProtection="1">
      <alignment shrinkToFit="1"/>
      <protection locked="0"/>
    </xf>
    <xf numFmtId="41" fontId="11" fillId="0" borderId="32" xfId="1" applyNumberFormat="1" applyFont="1" applyFill="1" applyBorder="1" applyAlignment="1" applyProtection="1">
      <alignment shrinkToFit="1"/>
      <protection locked="0"/>
    </xf>
    <xf numFmtId="41" fontId="11" fillId="0" borderId="33" xfId="1" applyNumberFormat="1" applyFont="1" applyFill="1" applyBorder="1" applyAlignment="1" applyProtection="1">
      <alignment shrinkToFit="1"/>
      <protection locked="0"/>
    </xf>
    <xf numFmtId="41" fontId="11" fillId="0" borderId="18" xfId="1" applyNumberFormat="1" applyFont="1" applyFill="1" applyBorder="1" applyAlignment="1" applyProtection="1">
      <alignment shrinkToFit="1"/>
      <protection locked="0"/>
    </xf>
    <xf numFmtId="41" fontId="11" fillId="0" borderId="40" xfId="1" applyNumberFormat="1" applyFont="1" applyFill="1" applyBorder="1" applyAlignment="1" applyProtection="1">
      <alignment shrinkToFit="1"/>
      <protection locked="0"/>
    </xf>
    <xf numFmtId="41" fontId="11" fillId="0" borderId="95" xfId="1" applyNumberFormat="1" applyFont="1" applyFill="1" applyBorder="1" applyAlignment="1" applyProtection="1">
      <alignment shrinkToFit="1"/>
      <protection locked="0"/>
    </xf>
    <xf numFmtId="41" fontId="11" fillId="0" borderId="26" xfId="0" applyNumberFormat="1" applyFont="1" applyFill="1" applyBorder="1" applyAlignment="1" applyProtection="1">
      <alignment shrinkToFit="1"/>
      <protection locked="0"/>
    </xf>
    <xf numFmtId="41" fontId="11" fillId="0" borderId="73" xfId="1" applyNumberFormat="1" applyFont="1" applyFill="1" applyBorder="1" applyAlignment="1" applyProtection="1">
      <alignment shrinkToFit="1"/>
    </xf>
    <xf numFmtId="41" fontId="11" fillId="0" borderId="32" xfId="1" applyNumberFormat="1" applyFont="1" applyFill="1" applyBorder="1" applyAlignment="1" applyProtection="1">
      <alignment shrinkToFit="1"/>
    </xf>
    <xf numFmtId="41" fontId="11" fillId="0" borderId="51" xfId="1" applyNumberFormat="1" applyFont="1" applyFill="1" applyBorder="1" applyAlignment="1" applyProtection="1">
      <alignment shrinkToFit="1"/>
    </xf>
    <xf numFmtId="41" fontId="3" fillId="0" borderId="0" xfId="0" applyNumberFormat="1" applyFont="1" applyFill="1" applyBorder="1" applyAlignment="1" applyProtection="1">
      <protection locked="0"/>
    </xf>
    <xf numFmtId="41" fontId="11" fillId="0" borderId="54" xfId="1" applyNumberFormat="1" applyFont="1" applyFill="1" applyBorder="1" applyAlignment="1" applyProtection="1">
      <protection locked="0"/>
    </xf>
    <xf numFmtId="41" fontId="11" fillId="0" borderId="13" xfId="0" applyNumberFormat="1" applyFont="1" applyFill="1" applyBorder="1" applyAlignment="1" applyProtection="1">
      <protection locked="0"/>
    </xf>
    <xf numFmtId="38" fontId="11" fillId="0" borderId="12" xfId="1" applyFont="1" applyFill="1" applyBorder="1" applyAlignment="1" applyProtection="1">
      <protection locked="0"/>
    </xf>
    <xf numFmtId="41" fontId="11" fillId="0" borderId="79" xfId="0" applyNumberFormat="1" applyFont="1" applyFill="1" applyBorder="1" applyAlignment="1" applyProtection="1">
      <protection locked="0"/>
    </xf>
    <xf numFmtId="41" fontId="11" fillId="0" borderId="55" xfId="1" applyNumberFormat="1" applyFont="1" applyFill="1" applyBorder="1" applyAlignment="1" applyProtection="1"/>
    <xf numFmtId="41" fontId="11" fillId="0" borderId="78" xfId="1" applyNumberFormat="1" applyFont="1" applyFill="1" applyBorder="1" applyAlignment="1" applyProtection="1"/>
    <xf numFmtId="41" fontId="3" fillId="0" borderId="25" xfId="0" applyNumberFormat="1" applyFont="1" applyFill="1" applyBorder="1" applyAlignment="1" applyProtection="1">
      <protection locked="0"/>
    </xf>
    <xf numFmtId="41" fontId="3" fillId="0" borderId="21" xfId="0" applyNumberFormat="1" applyFont="1" applyFill="1" applyBorder="1" applyAlignment="1" applyProtection="1">
      <protection locked="0"/>
    </xf>
    <xf numFmtId="41" fontId="3" fillId="0" borderId="57" xfId="0" applyNumberFormat="1" applyFont="1" applyFill="1" applyBorder="1" applyAlignment="1" applyProtection="1">
      <protection locked="0"/>
    </xf>
    <xf numFmtId="41" fontId="3" fillId="0" borderId="27" xfId="0" applyNumberFormat="1" applyFont="1" applyFill="1" applyBorder="1" applyAlignment="1" applyProtection="1">
      <protection locked="0"/>
    </xf>
    <xf numFmtId="41" fontId="3" fillId="0" borderId="37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6" xfId="0" applyNumberFormat="1" applyFont="1" applyFill="1" applyBorder="1" applyAlignment="1" applyProtection="1">
      <protection locked="0"/>
    </xf>
    <xf numFmtId="41" fontId="3" fillId="0" borderId="72" xfId="0" applyNumberFormat="1" applyFont="1" applyFill="1" applyBorder="1" applyAlignment="1" applyProtection="1">
      <protection locked="0"/>
    </xf>
    <xf numFmtId="41" fontId="3" fillId="0" borderId="46" xfId="0" applyNumberFormat="1" applyFont="1" applyFill="1" applyBorder="1" applyAlignment="1" applyProtection="1">
      <protection locked="0"/>
    </xf>
    <xf numFmtId="41" fontId="3" fillId="0" borderId="76" xfId="1" applyNumberFormat="1" applyFont="1" applyFill="1" applyBorder="1" applyAlignment="1" applyProtection="1"/>
    <xf numFmtId="177" fontId="3" fillId="0" borderId="14" xfId="0" applyNumberFormat="1" applyFont="1" applyFill="1" applyBorder="1" applyAlignment="1" applyProtection="1"/>
    <xf numFmtId="177" fontId="3" fillId="0" borderId="14" xfId="1" applyNumberFormat="1" applyFont="1" applyFill="1" applyBorder="1" applyAlignment="1" applyProtection="1"/>
    <xf numFmtId="177" fontId="3" fillId="0" borderId="32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8" fontId="3" fillId="0" borderId="51" xfId="1" applyNumberFormat="1" applyFont="1" applyFill="1" applyBorder="1" applyAlignment="1" applyProtection="1"/>
    <xf numFmtId="178" fontId="3" fillId="0" borderId="37" xfId="0" applyNumberFormat="1" applyFont="1" applyFill="1" applyBorder="1" applyAlignment="1" applyProtection="1"/>
    <xf numFmtId="178" fontId="3" fillId="0" borderId="37" xfId="1" applyNumberFormat="1" applyFont="1" applyFill="1" applyBorder="1" applyAlignment="1" applyProtection="1"/>
    <xf numFmtId="41" fontId="3" fillId="0" borderId="9" xfId="1" applyNumberFormat="1" applyFont="1" applyBorder="1" applyAlignment="1" applyProtection="1">
      <alignment horizontal="center" vertical="center"/>
    </xf>
    <xf numFmtId="41" fontId="3" fillId="0" borderId="16" xfId="1" applyNumberFormat="1" applyFont="1" applyBorder="1" applyAlignment="1" applyProtection="1">
      <alignment horizontal="center" vertical="center"/>
    </xf>
    <xf numFmtId="41" fontId="9" fillId="0" borderId="0" xfId="1" applyNumberFormat="1" applyFont="1" applyAlignment="1" applyProtection="1">
      <alignment horizontal="center"/>
      <protection locked="0"/>
    </xf>
    <xf numFmtId="41" fontId="7" fillId="0" borderId="9" xfId="1" applyNumberFormat="1" applyFont="1" applyBorder="1" applyAlignment="1" applyProtection="1">
      <alignment horizontal="center" vertical="center"/>
    </xf>
    <xf numFmtId="41" fontId="7" fillId="0" borderId="16" xfId="1" applyNumberFormat="1" applyFont="1" applyBorder="1" applyAlignment="1" applyProtection="1">
      <alignment horizontal="center" vertical="center"/>
    </xf>
    <xf numFmtId="41" fontId="3" fillId="0" borderId="28" xfId="1" applyNumberFormat="1" applyFont="1" applyBorder="1" applyAlignment="1" applyProtection="1">
      <alignment horizontal="center" vertical="center"/>
    </xf>
    <xf numFmtId="41" fontId="3" fillId="0" borderId="29" xfId="1" applyNumberFormat="1" applyFont="1" applyBorder="1" applyAlignment="1" applyProtection="1">
      <alignment horizontal="center" vertical="center"/>
    </xf>
    <xf numFmtId="41" fontId="3" fillId="0" borderId="2" xfId="1" applyNumberFormat="1" applyFont="1" applyBorder="1" applyAlignment="1" applyProtection="1">
      <alignment horizontal="center" vertical="center"/>
    </xf>
    <xf numFmtId="41" fontId="3" fillId="0" borderId="30" xfId="1" applyNumberFormat="1" applyFont="1" applyBorder="1" applyAlignment="1" applyProtection="1">
      <alignment horizontal="center" vertical="center"/>
    </xf>
    <xf numFmtId="41" fontId="7" fillId="0" borderId="28" xfId="1" applyNumberFormat="1" applyFont="1" applyBorder="1" applyAlignment="1" applyProtection="1">
      <alignment horizontal="center" vertical="center"/>
    </xf>
    <xf numFmtId="41" fontId="7" fillId="0" borderId="29" xfId="1" applyNumberFormat="1" applyFont="1" applyBorder="1" applyAlignment="1" applyProtection="1">
      <alignment horizontal="center" vertical="center"/>
    </xf>
    <xf numFmtId="41" fontId="7" fillId="0" borderId="2" xfId="1" applyNumberFormat="1" applyFont="1" applyBorder="1" applyAlignment="1" applyProtection="1">
      <alignment horizontal="center" vertical="center"/>
    </xf>
    <xf numFmtId="41" fontId="7" fillId="0" borderId="30" xfId="1" applyNumberFormat="1" applyFont="1" applyBorder="1" applyAlignment="1" applyProtection="1">
      <alignment horizontal="center" vertical="center"/>
    </xf>
    <xf numFmtId="41" fontId="9" fillId="0" borderId="0" xfId="1" applyNumberFormat="1" applyFont="1" applyFill="1" applyAlignment="1" applyProtection="1">
      <alignment horizontal="center"/>
      <protection locked="0"/>
    </xf>
    <xf numFmtId="41" fontId="3" fillId="0" borderId="9" xfId="1" applyNumberFormat="1" applyFont="1" applyFill="1" applyBorder="1" applyAlignment="1" applyProtection="1">
      <alignment horizontal="center" vertical="center"/>
    </xf>
    <xf numFmtId="41" fontId="3" fillId="0" borderId="16" xfId="1" applyNumberFormat="1" applyFont="1" applyFill="1" applyBorder="1" applyAlignment="1" applyProtection="1">
      <alignment horizontal="center" vertical="center"/>
    </xf>
    <xf numFmtId="41" fontId="7" fillId="0" borderId="9" xfId="1" applyNumberFormat="1" applyFont="1" applyFill="1" applyBorder="1" applyAlignment="1" applyProtection="1">
      <alignment horizontal="center" vertical="center"/>
    </xf>
    <xf numFmtId="41" fontId="7" fillId="0" borderId="16" xfId="1" applyNumberFormat="1" applyFont="1" applyFill="1" applyBorder="1" applyAlignment="1" applyProtection="1">
      <alignment horizontal="center" vertical="center"/>
    </xf>
    <xf numFmtId="41" fontId="3" fillId="0" borderId="28" xfId="1" applyNumberFormat="1" applyFont="1" applyFill="1" applyBorder="1" applyAlignment="1" applyProtection="1">
      <alignment horizontal="center" vertical="center"/>
    </xf>
    <xf numFmtId="41" fontId="3" fillId="0" borderId="29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30" xfId="1" applyNumberFormat="1" applyFont="1" applyFill="1" applyBorder="1" applyAlignment="1" applyProtection="1">
      <alignment horizontal="center" vertical="center"/>
    </xf>
    <xf numFmtId="41" fontId="7" fillId="0" borderId="28" xfId="1" applyNumberFormat="1" applyFont="1" applyFill="1" applyBorder="1" applyAlignment="1" applyProtection="1">
      <alignment horizontal="center" vertical="center"/>
    </xf>
    <xf numFmtId="41" fontId="7" fillId="0" borderId="29" xfId="1" applyNumberFormat="1" applyFont="1" applyFill="1" applyBorder="1" applyAlignment="1" applyProtection="1">
      <alignment horizontal="center" vertical="center"/>
    </xf>
    <xf numFmtId="41" fontId="7" fillId="0" borderId="2" xfId="1" applyNumberFormat="1" applyFont="1" applyFill="1" applyBorder="1" applyAlignment="1" applyProtection="1">
      <alignment horizontal="center" vertical="center"/>
    </xf>
    <xf numFmtId="41" fontId="7" fillId="0" borderId="30" xfId="1" applyNumberFormat="1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1"/>
  <sheetViews>
    <sheetView tabSelected="1" topLeftCell="A115" zoomScale="50" zoomScaleNormal="50" workbookViewId="0">
      <selection activeCell="N14" sqref="N14"/>
    </sheetView>
  </sheetViews>
  <sheetFormatPr defaultColWidth="13.375" defaultRowHeight="18.75"/>
  <cols>
    <col min="1" max="1" width="5.875" style="38" customWidth="1"/>
    <col min="2" max="2" width="21.25" style="38" customWidth="1"/>
    <col min="3" max="3" width="11.25" style="38" customWidth="1"/>
    <col min="4" max="7" width="24.625" style="38" customWidth="1"/>
    <col min="8" max="9" width="19.625" style="38" hidden="1" customWidth="1"/>
    <col min="10" max="16" width="24.625" style="38" customWidth="1"/>
    <col min="17" max="17" width="24.625" style="2" customWidth="1"/>
    <col min="18" max="18" width="0.125" style="38" hidden="1" customWidth="1"/>
    <col min="19" max="37" width="17.375" style="38" customWidth="1"/>
    <col min="38" max="256" width="13.375" style="38"/>
    <col min="257" max="257" width="5.875" style="38" customWidth="1"/>
    <col min="258" max="258" width="21.25" style="38" customWidth="1"/>
    <col min="259" max="259" width="11.25" style="38" customWidth="1"/>
    <col min="260" max="273" width="19.625" style="38" customWidth="1"/>
    <col min="274" max="274" width="0" style="38" hidden="1" customWidth="1"/>
    <col min="275" max="293" width="17.375" style="38" customWidth="1"/>
    <col min="294" max="512" width="13.375" style="38"/>
    <col min="513" max="513" width="5.875" style="38" customWidth="1"/>
    <col min="514" max="514" width="21.25" style="38" customWidth="1"/>
    <col min="515" max="515" width="11.25" style="38" customWidth="1"/>
    <col min="516" max="529" width="19.625" style="38" customWidth="1"/>
    <col min="530" max="530" width="0" style="38" hidden="1" customWidth="1"/>
    <col min="531" max="549" width="17.375" style="38" customWidth="1"/>
    <col min="550" max="768" width="13.375" style="38"/>
    <col min="769" max="769" width="5.875" style="38" customWidth="1"/>
    <col min="770" max="770" width="21.25" style="38" customWidth="1"/>
    <col min="771" max="771" width="11.25" style="38" customWidth="1"/>
    <col min="772" max="785" width="19.625" style="38" customWidth="1"/>
    <col min="786" max="786" width="0" style="38" hidden="1" customWidth="1"/>
    <col min="787" max="805" width="17.375" style="38" customWidth="1"/>
    <col min="806" max="1024" width="13.375" style="38"/>
    <col min="1025" max="1025" width="5.875" style="38" customWidth="1"/>
    <col min="1026" max="1026" width="21.25" style="38" customWidth="1"/>
    <col min="1027" max="1027" width="11.25" style="38" customWidth="1"/>
    <col min="1028" max="1041" width="19.625" style="38" customWidth="1"/>
    <col min="1042" max="1042" width="0" style="38" hidden="1" customWidth="1"/>
    <col min="1043" max="1061" width="17.375" style="38" customWidth="1"/>
    <col min="1062" max="1280" width="13.375" style="38"/>
    <col min="1281" max="1281" width="5.875" style="38" customWidth="1"/>
    <col min="1282" max="1282" width="21.25" style="38" customWidth="1"/>
    <col min="1283" max="1283" width="11.25" style="38" customWidth="1"/>
    <col min="1284" max="1297" width="19.625" style="38" customWidth="1"/>
    <col min="1298" max="1298" width="0" style="38" hidden="1" customWidth="1"/>
    <col min="1299" max="1317" width="17.375" style="38" customWidth="1"/>
    <col min="1318" max="1536" width="13.375" style="38"/>
    <col min="1537" max="1537" width="5.875" style="38" customWidth="1"/>
    <col min="1538" max="1538" width="21.25" style="38" customWidth="1"/>
    <col min="1539" max="1539" width="11.25" style="38" customWidth="1"/>
    <col min="1540" max="1553" width="19.625" style="38" customWidth="1"/>
    <col min="1554" max="1554" width="0" style="38" hidden="1" customWidth="1"/>
    <col min="1555" max="1573" width="17.375" style="38" customWidth="1"/>
    <col min="1574" max="1792" width="13.375" style="38"/>
    <col min="1793" max="1793" width="5.875" style="38" customWidth="1"/>
    <col min="1794" max="1794" width="21.25" style="38" customWidth="1"/>
    <col min="1795" max="1795" width="11.25" style="38" customWidth="1"/>
    <col min="1796" max="1809" width="19.625" style="38" customWidth="1"/>
    <col min="1810" max="1810" width="0" style="38" hidden="1" customWidth="1"/>
    <col min="1811" max="1829" width="17.375" style="38" customWidth="1"/>
    <col min="1830" max="2048" width="13.375" style="38"/>
    <col min="2049" max="2049" width="5.875" style="38" customWidth="1"/>
    <col min="2050" max="2050" width="21.25" style="38" customWidth="1"/>
    <col min="2051" max="2051" width="11.25" style="38" customWidth="1"/>
    <col min="2052" max="2065" width="19.625" style="38" customWidth="1"/>
    <col min="2066" max="2066" width="0" style="38" hidden="1" customWidth="1"/>
    <col min="2067" max="2085" width="17.375" style="38" customWidth="1"/>
    <col min="2086" max="2304" width="13.375" style="38"/>
    <col min="2305" max="2305" width="5.875" style="38" customWidth="1"/>
    <col min="2306" max="2306" width="21.25" style="38" customWidth="1"/>
    <col min="2307" max="2307" width="11.25" style="38" customWidth="1"/>
    <col min="2308" max="2321" width="19.625" style="38" customWidth="1"/>
    <col min="2322" max="2322" width="0" style="38" hidden="1" customWidth="1"/>
    <col min="2323" max="2341" width="17.375" style="38" customWidth="1"/>
    <col min="2342" max="2560" width="13.375" style="38"/>
    <col min="2561" max="2561" width="5.875" style="38" customWidth="1"/>
    <col min="2562" max="2562" width="21.25" style="38" customWidth="1"/>
    <col min="2563" max="2563" width="11.25" style="38" customWidth="1"/>
    <col min="2564" max="2577" width="19.625" style="38" customWidth="1"/>
    <col min="2578" max="2578" width="0" style="38" hidden="1" customWidth="1"/>
    <col min="2579" max="2597" width="17.375" style="38" customWidth="1"/>
    <col min="2598" max="2816" width="13.375" style="38"/>
    <col min="2817" max="2817" width="5.875" style="38" customWidth="1"/>
    <col min="2818" max="2818" width="21.25" style="38" customWidth="1"/>
    <col min="2819" max="2819" width="11.25" style="38" customWidth="1"/>
    <col min="2820" max="2833" width="19.625" style="38" customWidth="1"/>
    <col min="2834" max="2834" width="0" style="38" hidden="1" customWidth="1"/>
    <col min="2835" max="2853" width="17.375" style="38" customWidth="1"/>
    <col min="2854" max="3072" width="13.375" style="38"/>
    <col min="3073" max="3073" width="5.875" style="38" customWidth="1"/>
    <col min="3074" max="3074" width="21.25" style="38" customWidth="1"/>
    <col min="3075" max="3075" width="11.25" style="38" customWidth="1"/>
    <col min="3076" max="3089" width="19.625" style="38" customWidth="1"/>
    <col min="3090" max="3090" width="0" style="38" hidden="1" customWidth="1"/>
    <col min="3091" max="3109" width="17.375" style="38" customWidth="1"/>
    <col min="3110" max="3328" width="13.375" style="38"/>
    <col min="3329" max="3329" width="5.875" style="38" customWidth="1"/>
    <col min="3330" max="3330" width="21.25" style="38" customWidth="1"/>
    <col min="3331" max="3331" width="11.25" style="38" customWidth="1"/>
    <col min="3332" max="3345" width="19.625" style="38" customWidth="1"/>
    <col min="3346" max="3346" width="0" style="38" hidden="1" customWidth="1"/>
    <col min="3347" max="3365" width="17.375" style="38" customWidth="1"/>
    <col min="3366" max="3584" width="13.375" style="38"/>
    <col min="3585" max="3585" width="5.875" style="38" customWidth="1"/>
    <col min="3586" max="3586" width="21.25" style="38" customWidth="1"/>
    <col min="3587" max="3587" width="11.25" style="38" customWidth="1"/>
    <col min="3588" max="3601" width="19.625" style="38" customWidth="1"/>
    <col min="3602" max="3602" width="0" style="38" hidden="1" customWidth="1"/>
    <col min="3603" max="3621" width="17.375" style="38" customWidth="1"/>
    <col min="3622" max="3840" width="13.375" style="38"/>
    <col min="3841" max="3841" width="5.875" style="38" customWidth="1"/>
    <col min="3842" max="3842" width="21.25" style="38" customWidth="1"/>
    <col min="3843" max="3843" width="11.25" style="38" customWidth="1"/>
    <col min="3844" max="3857" width="19.625" style="38" customWidth="1"/>
    <col min="3858" max="3858" width="0" style="38" hidden="1" customWidth="1"/>
    <col min="3859" max="3877" width="17.375" style="38" customWidth="1"/>
    <col min="3878" max="4096" width="13.375" style="38"/>
    <col min="4097" max="4097" width="5.875" style="38" customWidth="1"/>
    <col min="4098" max="4098" width="21.25" style="38" customWidth="1"/>
    <col min="4099" max="4099" width="11.25" style="38" customWidth="1"/>
    <col min="4100" max="4113" width="19.625" style="38" customWidth="1"/>
    <col min="4114" max="4114" width="0" style="38" hidden="1" customWidth="1"/>
    <col min="4115" max="4133" width="17.375" style="38" customWidth="1"/>
    <col min="4134" max="4352" width="13.375" style="38"/>
    <col min="4353" max="4353" width="5.875" style="38" customWidth="1"/>
    <col min="4354" max="4354" width="21.25" style="38" customWidth="1"/>
    <col min="4355" max="4355" width="11.25" style="38" customWidth="1"/>
    <col min="4356" max="4369" width="19.625" style="38" customWidth="1"/>
    <col min="4370" max="4370" width="0" style="38" hidden="1" customWidth="1"/>
    <col min="4371" max="4389" width="17.375" style="38" customWidth="1"/>
    <col min="4390" max="4608" width="13.375" style="38"/>
    <col min="4609" max="4609" width="5.875" style="38" customWidth="1"/>
    <col min="4610" max="4610" width="21.25" style="38" customWidth="1"/>
    <col min="4611" max="4611" width="11.25" style="38" customWidth="1"/>
    <col min="4612" max="4625" width="19.625" style="38" customWidth="1"/>
    <col min="4626" max="4626" width="0" style="38" hidden="1" customWidth="1"/>
    <col min="4627" max="4645" width="17.375" style="38" customWidth="1"/>
    <col min="4646" max="4864" width="13.375" style="38"/>
    <col min="4865" max="4865" width="5.875" style="38" customWidth="1"/>
    <col min="4866" max="4866" width="21.25" style="38" customWidth="1"/>
    <col min="4867" max="4867" width="11.25" style="38" customWidth="1"/>
    <col min="4868" max="4881" width="19.625" style="38" customWidth="1"/>
    <col min="4882" max="4882" width="0" style="38" hidden="1" customWidth="1"/>
    <col min="4883" max="4901" width="17.375" style="38" customWidth="1"/>
    <col min="4902" max="5120" width="13.375" style="38"/>
    <col min="5121" max="5121" width="5.875" style="38" customWidth="1"/>
    <col min="5122" max="5122" width="21.25" style="38" customWidth="1"/>
    <col min="5123" max="5123" width="11.25" style="38" customWidth="1"/>
    <col min="5124" max="5137" width="19.625" style="38" customWidth="1"/>
    <col min="5138" max="5138" width="0" style="38" hidden="1" customWidth="1"/>
    <col min="5139" max="5157" width="17.375" style="38" customWidth="1"/>
    <col min="5158" max="5376" width="13.375" style="38"/>
    <col min="5377" max="5377" width="5.875" style="38" customWidth="1"/>
    <col min="5378" max="5378" width="21.25" style="38" customWidth="1"/>
    <col min="5379" max="5379" width="11.25" style="38" customWidth="1"/>
    <col min="5380" max="5393" width="19.625" style="38" customWidth="1"/>
    <col min="5394" max="5394" width="0" style="38" hidden="1" customWidth="1"/>
    <col min="5395" max="5413" width="17.375" style="38" customWidth="1"/>
    <col min="5414" max="5632" width="13.375" style="38"/>
    <col min="5633" max="5633" width="5.875" style="38" customWidth="1"/>
    <col min="5634" max="5634" width="21.25" style="38" customWidth="1"/>
    <col min="5635" max="5635" width="11.25" style="38" customWidth="1"/>
    <col min="5636" max="5649" width="19.625" style="38" customWidth="1"/>
    <col min="5650" max="5650" width="0" style="38" hidden="1" customWidth="1"/>
    <col min="5651" max="5669" width="17.375" style="38" customWidth="1"/>
    <col min="5670" max="5888" width="13.375" style="38"/>
    <col min="5889" max="5889" width="5.875" style="38" customWidth="1"/>
    <col min="5890" max="5890" width="21.25" style="38" customWidth="1"/>
    <col min="5891" max="5891" width="11.25" style="38" customWidth="1"/>
    <col min="5892" max="5905" width="19.625" style="38" customWidth="1"/>
    <col min="5906" max="5906" width="0" style="38" hidden="1" customWidth="1"/>
    <col min="5907" max="5925" width="17.375" style="38" customWidth="1"/>
    <col min="5926" max="6144" width="13.375" style="38"/>
    <col min="6145" max="6145" width="5.875" style="38" customWidth="1"/>
    <col min="6146" max="6146" width="21.25" style="38" customWidth="1"/>
    <col min="6147" max="6147" width="11.25" style="38" customWidth="1"/>
    <col min="6148" max="6161" width="19.625" style="38" customWidth="1"/>
    <col min="6162" max="6162" width="0" style="38" hidden="1" customWidth="1"/>
    <col min="6163" max="6181" width="17.375" style="38" customWidth="1"/>
    <col min="6182" max="6400" width="13.375" style="38"/>
    <col min="6401" max="6401" width="5.875" style="38" customWidth="1"/>
    <col min="6402" max="6402" width="21.25" style="38" customWidth="1"/>
    <col min="6403" max="6403" width="11.25" style="38" customWidth="1"/>
    <col min="6404" max="6417" width="19.625" style="38" customWidth="1"/>
    <col min="6418" max="6418" width="0" style="38" hidden="1" customWidth="1"/>
    <col min="6419" max="6437" width="17.375" style="38" customWidth="1"/>
    <col min="6438" max="6656" width="13.375" style="38"/>
    <col min="6657" max="6657" width="5.875" style="38" customWidth="1"/>
    <col min="6658" max="6658" width="21.25" style="38" customWidth="1"/>
    <col min="6659" max="6659" width="11.25" style="38" customWidth="1"/>
    <col min="6660" max="6673" width="19.625" style="38" customWidth="1"/>
    <col min="6674" max="6674" width="0" style="38" hidden="1" customWidth="1"/>
    <col min="6675" max="6693" width="17.375" style="38" customWidth="1"/>
    <col min="6694" max="6912" width="13.375" style="38"/>
    <col min="6913" max="6913" width="5.875" style="38" customWidth="1"/>
    <col min="6914" max="6914" width="21.25" style="38" customWidth="1"/>
    <col min="6915" max="6915" width="11.25" style="38" customWidth="1"/>
    <col min="6916" max="6929" width="19.625" style="38" customWidth="1"/>
    <col min="6930" max="6930" width="0" style="38" hidden="1" customWidth="1"/>
    <col min="6931" max="6949" width="17.375" style="38" customWidth="1"/>
    <col min="6950" max="7168" width="13.375" style="38"/>
    <col min="7169" max="7169" width="5.875" style="38" customWidth="1"/>
    <col min="7170" max="7170" width="21.25" style="38" customWidth="1"/>
    <col min="7171" max="7171" width="11.25" style="38" customWidth="1"/>
    <col min="7172" max="7185" width="19.625" style="38" customWidth="1"/>
    <col min="7186" max="7186" width="0" style="38" hidden="1" customWidth="1"/>
    <col min="7187" max="7205" width="17.375" style="38" customWidth="1"/>
    <col min="7206" max="7424" width="13.375" style="38"/>
    <col min="7425" max="7425" width="5.875" style="38" customWidth="1"/>
    <col min="7426" max="7426" width="21.25" style="38" customWidth="1"/>
    <col min="7427" max="7427" width="11.25" style="38" customWidth="1"/>
    <col min="7428" max="7441" width="19.625" style="38" customWidth="1"/>
    <col min="7442" max="7442" width="0" style="38" hidden="1" customWidth="1"/>
    <col min="7443" max="7461" width="17.375" style="38" customWidth="1"/>
    <col min="7462" max="7680" width="13.375" style="38"/>
    <col min="7681" max="7681" width="5.875" style="38" customWidth="1"/>
    <col min="7682" max="7682" width="21.25" style="38" customWidth="1"/>
    <col min="7683" max="7683" width="11.25" style="38" customWidth="1"/>
    <col min="7684" max="7697" width="19.625" style="38" customWidth="1"/>
    <col min="7698" max="7698" width="0" style="38" hidden="1" customWidth="1"/>
    <col min="7699" max="7717" width="17.375" style="38" customWidth="1"/>
    <col min="7718" max="7936" width="13.375" style="38"/>
    <col min="7937" max="7937" width="5.875" style="38" customWidth="1"/>
    <col min="7938" max="7938" width="21.25" style="38" customWidth="1"/>
    <col min="7939" max="7939" width="11.25" style="38" customWidth="1"/>
    <col min="7940" max="7953" width="19.625" style="38" customWidth="1"/>
    <col min="7954" max="7954" width="0" style="38" hidden="1" customWidth="1"/>
    <col min="7955" max="7973" width="17.375" style="38" customWidth="1"/>
    <col min="7974" max="8192" width="13.375" style="38"/>
    <col min="8193" max="8193" width="5.875" style="38" customWidth="1"/>
    <col min="8194" max="8194" width="21.25" style="38" customWidth="1"/>
    <col min="8195" max="8195" width="11.25" style="38" customWidth="1"/>
    <col min="8196" max="8209" width="19.625" style="38" customWidth="1"/>
    <col min="8210" max="8210" width="0" style="38" hidden="1" customWidth="1"/>
    <col min="8211" max="8229" width="17.375" style="38" customWidth="1"/>
    <col min="8230" max="8448" width="13.375" style="38"/>
    <col min="8449" max="8449" width="5.875" style="38" customWidth="1"/>
    <col min="8450" max="8450" width="21.25" style="38" customWidth="1"/>
    <col min="8451" max="8451" width="11.25" style="38" customWidth="1"/>
    <col min="8452" max="8465" width="19.625" style="38" customWidth="1"/>
    <col min="8466" max="8466" width="0" style="38" hidden="1" customWidth="1"/>
    <col min="8467" max="8485" width="17.375" style="38" customWidth="1"/>
    <col min="8486" max="8704" width="13.375" style="38"/>
    <col min="8705" max="8705" width="5.875" style="38" customWidth="1"/>
    <col min="8706" max="8706" width="21.25" style="38" customWidth="1"/>
    <col min="8707" max="8707" width="11.25" style="38" customWidth="1"/>
    <col min="8708" max="8721" width="19.625" style="38" customWidth="1"/>
    <col min="8722" max="8722" width="0" style="38" hidden="1" customWidth="1"/>
    <col min="8723" max="8741" width="17.375" style="38" customWidth="1"/>
    <col min="8742" max="8960" width="13.375" style="38"/>
    <col min="8961" max="8961" width="5.875" style="38" customWidth="1"/>
    <col min="8962" max="8962" width="21.25" style="38" customWidth="1"/>
    <col min="8963" max="8963" width="11.25" style="38" customWidth="1"/>
    <col min="8964" max="8977" width="19.625" style="38" customWidth="1"/>
    <col min="8978" max="8978" width="0" style="38" hidden="1" customWidth="1"/>
    <col min="8979" max="8997" width="17.375" style="38" customWidth="1"/>
    <col min="8998" max="9216" width="13.375" style="38"/>
    <col min="9217" max="9217" width="5.875" style="38" customWidth="1"/>
    <col min="9218" max="9218" width="21.25" style="38" customWidth="1"/>
    <col min="9219" max="9219" width="11.25" style="38" customWidth="1"/>
    <col min="9220" max="9233" width="19.625" style="38" customWidth="1"/>
    <col min="9234" max="9234" width="0" style="38" hidden="1" customWidth="1"/>
    <col min="9235" max="9253" width="17.375" style="38" customWidth="1"/>
    <col min="9254" max="9472" width="13.375" style="38"/>
    <col min="9473" max="9473" width="5.875" style="38" customWidth="1"/>
    <col min="9474" max="9474" width="21.25" style="38" customWidth="1"/>
    <col min="9475" max="9475" width="11.25" style="38" customWidth="1"/>
    <col min="9476" max="9489" width="19.625" style="38" customWidth="1"/>
    <col min="9490" max="9490" width="0" style="38" hidden="1" customWidth="1"/>
    <col min="9491" max="9509" width="17.375" style="38" customWidth="1"/>
    <col min="9510" max="9728" width="13.375" style="38"/>
    <col min="9729" max="9729" width="5.875" style="38" customWidth="1"/>
    <col min="9730" max="9730" width="21.25" style="38" customWidth="1"/>
    <col min="9731" max="9731" width="11.25" style="38" customWidth="1"/>
    <col min="9732" max="9745" width="19.625" style="38" customWidth="1"/>
    <col min="9746" max="9746" width="0" style="38" hidden="1" customWidth="1"/>
    <col min="9747" max="9765" width="17.375" style="38" customWidth="1"/>
    <col min="9766" max="9984" width="13.375" style="38"/>
    <col min="9985" max="9985" width="5.875" style="38" customWidth="1"/>
    <col min="9986" max="9986" width="21.25" style="38" customWidth="1"/>
    <col min="9987" max="9987" width="11.25" style="38" customWidth="1"/>
    <col min="9988" max="10001" width="19.625" style="38" customWidth="1"/>
    <col min="10002" max="10002" width="0" style="38" hidden="1" customWidth="1"/>
    <col min="10003" max="10021" width="17.375" style="38" customWidth="1"/>
    <col min="10022" max="10240" width="13.375" style="38"/>
    <col min="10241" max="10241" width="5.875" style="38" customWidth="1"/>
    <col min="10242" max="10242" width="21.25" style="38" customWidth="1"/>
    <col min="10243" max="10243" width="11.25" style="38" customWidth="1"/>
    <col min="10244" max="10257" width="19.625" style="38" customWidth="1"/>
    <col min="10258" max="10258" width="0" style="38" hidden="1" customWidth="1"/>
    <col min="10259" max="10277" width="17.375" style="38" customWidth="1"/>
    <col min="10278" max="10496" width="13.375" style="38"/>
    <col min="10497" max="10497" width="5.875" style="38" customWidth="1"/>
    <col min="10498" max="10498" width="21.25" style="38" customWidth="1"/>
    <col min="10499" max="10499" width="11.25" style="38" customWidth="1"/>
    <col min="10500" max="10513" width="19.625" style="38" customWidth="1"/>
    <col min="10514" max="10514" width="0" style="38" hidden="1" customWidth="1"/>
    <col min="10515" max="10533" width="17.375" style="38" customWidth="1"/>
    <col min="10534" max="10752" width="13.375" style="38"/>
    <col min="10753" max="10753" width="5.875" style="38" customWidth="1"/>
    <col min="10754" max="10754" width="21.25" style="38" customWidth="1"/>
    <col min="10755" max="10755" width="11.25" style="38" customWidth="1"/>
    <col min="10756" max="10769" width="19.625" style="38" customWidth="1"/>
    <col min="10770" max="10770" width="0" style="38" hidden="1" customWidth="1"/>
    <col min="10771" max="10789" width="17.375" style="38" customWidth="1"/>
    <col min="10790" max="11008" width="13.375" style="38"/>
    <col min="11009" max="11009" width="5.875" style="38" customWidth="1"/>
    <col min="11010" max="11010" width="21.25" style="38" customWidth="1"/>
    <col min="11011" max="11011" width="11.25" style="38" customWidth="1"/>
    <col min="11012" max="11025" width="19.625" style="38" customWidth="1"/>
    <col min="11026" max="11026" width="0" style="38" hidden="1" customWidth="1"/>
    <col min="11027" max="11045" width="17.375" style="38" customWidth="1"/>
    <col min="11046" max="11264" width="13.375" style="38"/>
    <col min="11265" max="11265" width="5.875" style="38" customWidth="1"/>
    <col min="11266" max="11266" width="21.25" style="38" customWidth="1"/>
    <col min="11267" max="11267" width="11.25" style="38" customWidth="1"/>
    <col min="11268" max="11281" width="19.625" style="38" customWidth="1"/>
    <col min="11282" max="11282" width="0" style="38" hidden="1" customWidth="1"/>
    <col min="11283" max="11301" width="17.375" style="38" customWidth="1"/>
    <col min="11302" max="11520" width="13.375" style="38"/>
    <col min="11521" max="11521" width="5.875" style="38" customWidth="1"/>
    <col min="11522" max="11522" width="21.25" style="38" customWidth="1"/>
    <col min="11523" max="11523" width="11.25" style="38" customWidth="1"/>
    <col min="11524" max="11537" width="19.625" style="38" customWidth="1"/>
    <col min="11538" max="11538" width="0" style="38" hidden="1" customWidth="1"/>
    <col min="11539" max="11557" width="17.375" style="38" customWidth="1"/>
    <col min="11558" max="11776" width="13.375" style="38"/>
    <col min="11777" max="11777" width="5.875" style="38" customWidth="1"/>
    <col min="11778" max="11778" width="21.25" style="38" customWidth="1"/>
    <col min="11779" max="11779" width="11.25" style="38" customWidth="1"/>
    <col min="11780" max="11793" width="19.625" style="38" customWidth="1"/>
    <col min="11794" max="11794" width="0" style="38" hidden="1" customWidth="1"/>
    <col min="11795" max="11813" width="17.375" style="38" customWidth="1"/>
    <col min="11814" max="12032" width="13.375" style="38"/>
    <col min="12033" max="12033" width="5.875" style="38" customWidth="1"/>
    <col min="12034" max="12034" width="21.25" style="38" customWidth="1"/>
    <col min="12035" max="12035" width="11.25" style="38" customWidth="1"/>
    <col min="12036" max="12049" width="19.625" style="38" customWidth="1"/>
    <col min="12050" max="12050" width="0" style="38" hidden="1" customWidth="1"/>
    <col min="12051" max="12069" width="17.375" style="38" customWidth="1"/>
    <col min="12070" max="12288" width="13.375" style="38"/>
    <col min="12289" max="12289" width="5.875" style="38" customWidth="1"/>
    <col min="12290" max="12290" width="21.25" style="38" customWidth="1"/>
    <col min="12291" max="12291" width="11.25" style="38" customWidth="1"/>
    <col min="12292" max="12305" width="19.625" style="38" customWidth="1"/>
    <col min="12306" max="12306" width="0" style="38" hidden="1" customWidth="1"/>
    <col min="12307" max="12325" width="17.375" style="38" customWidth="1"/>
    <col min="12326" max="12544" width="13.375" style="38"/>
    <col min="12545" max="12545" width="5.875" style="38" customWidth="1"/>
    <col min="12546" max="12546" width="21.25" style="38" customWidth="1"/>
    <col min="12547" max="12547" width="11.25" style="38" customWidth="1"/>
    <col min="12548" max="12561" width="19.625" style="38" customWidth="1"/>
    <col min="12562" max="12562" width="0" style="38" hidden="1" customWidth="1"/>
    <col min="12563" max="12581" width="17.375" style="38" customWidth="1"/>
    <col min="12582" max="12800" width="13.375" style="38"/>
    <col min="12801" max="12801" width="5.875" style="38" customWidth="1"/>
    <col min="12802" max="12802" width="21.25" style="38" customWidth="1"/>
    <col min="12803" max="12803" width="11.25" style="38" customWidth="1"/>
    <col min="12804" max="12817" width="19.625" style="38" customWidth="1"/>
    <col min="12818" max="12818" width="0" style="38" hidden="1" customWidth="1"/>
    <col min="12819" max="12837" width="17.375" style="38" customWidth="1"/>
    <col min="12838" max="13056" width="13.375" style="38"/>
    <col min="13057" max="13057" width="5.875" style="38" customWidth="1"/>
    <col min="13058" max="13058" width="21.25" style="38" customWidth="1"/>
    <col min="13059" max="13059" width="11.25" style="38" customWidth="1"/>
    <col min="13060" max="13073" width="19.625" style="38" customWidth="1"/>
    <col min="13074" max="13074" width="0" style="38" hidden="1" customWidth="1"/>
    <col min="13075" max="13093" width="17.375" style="38" customWidth="1"/>
    <col min="13094" max="13312" width="13.375" style="38"/>
    <col min="13313" max="13313" width="5.875" style="38" customWidth="1"/>
    <col min="13314" max="13314" width="21.25" style="38" customWidth="1"/>
    <col min="13315" max="13315" width="11.25" style="38" customWidth="1"/>
    <col min="13316" max="13329" width="19.625" style="38" customWidth="1"/>
    <col min="13330" max="13330" width="0" style="38" hidden="1" customWidth="1"/>
    <col min="13331" max="13349" width="17.375" style="38" customWidth="1"/>
    <col min="13350" max="13568" width="13.375" style="38"/>
    <col min="13569" max="13569" width="5.875" style="38" customWidth="1"/>
    <col min="13570" max="13570" width="21.25" style="38" customWidth="1"/>
    <col min="13571" max="13571" width="11.25" style="38" customWidth="1"/>
    <col min="13572" max="13585" width="19.625" style="38" customWidth="1"/>
    <col min="13586" max="13586" width="0" style="38" hidden="1" customWidth="1"/>
    <col min="13587" max="13605" width="17.375" style="38" customWidth="1"/>
    <col min="13606" max="13824" width="13.375" style="38"/>
    <col min="13825" max="13825" width="5.875" style="38" customWidth="1"/>
    <col min="13826" max="13826" width="21.25" style="38" customWidth="1"/>
    <col min="13827" max="13827" width="11.25" style="38" customWidth="1"/>
    <col min="13828" max="13841" width="19.625" style="38" customWidth="1"/>
    <col min="13842" max="13842" width="0" style="38" hidden="1" customWidth="1"/>
    <col min="13843" max="13861" width="17.375" style="38" customWidth="1"/>
    <col min="13862" max="14080" width="13.375" style="38"/>
    <col min="14081" max="14081" width="5.875" style="38" customWidth="1"/>
    <col min="14082" max="14082" width="21.25" style="38" customWidth="1"/>
    <col min="14083" max="14083" width="11.25" style="38" customWidth="1"/>
    <col min="14084" max="14097" width="19.625" style="38" customWidth="1"/>
    <col min="14098" max="14098" width="0" style="38" hidden="1" customWidth="1"/>
    <col min="14099" max="14117" width="17.375" style="38" customWidth="1"/>
    <col min="14118" max="14336" width="13.375" style="38"/>
    <col min="14337" max="14337" width="5.875" style="38" customWidth="1"/>
    <col min="14338" max="14338" width="21.25" style="38" customWidth="1"/>
    <col min="14339" max="14339" width="11.25" style="38" customWidth="1"/>
    <col min="14340" max="14353" width="19.625" style="38" customWidth="1"/>
    <col min="14354" max="14354" width="0" style="38" hidden="1" customWidth="1"/>
    <col min="14355" max="14373" width="17.375" style="38" customWidth="1"/>
    <col min="14374" max="14592" width="13.375" style="38"/>
    <col min="14593" max="14593" width="5.875" style="38" customWidth="1"/>
    <col min="14594" max="14594" width="21.25" style="38" customWidth="1"/>
    <col min="14595" max="14595" width="11.25" style="38" customWidth="1"/>
    <col min="14596" max="14609" width="19.625" style="38" customWidth="1"/>
    <col min="14610" max="14610" width="0" style="38" hidden="1" customWidth="1"/>
    <col min="14611" max="14629" width="17.375" style="38" customWidth="1"/>
    <col min="14630" max="14848" width="13.375" style="38"/>
    <col min="14849" max="14849" width="5.875" style="38" customWidth="1"/>
    <col min="14850" max="14850" width="21.25" style="38" customWidth="1"/>
    <col min="14851" max="14851" width="11.25" style="38" customWidth="1"/>
    <col min="14852" max="14865" width="19.625" style="38" customWidth="1"/>
    <col min="14866" max="14866" width="0" style="38" hidden="1" customWidth="1"/>
    <col min="14867" max="14885" width="17.375" style="38" customWidth="1"/>
    <col min="14886" max="15104" width="13.375" style="38"/>
    <col min="15105" max="15105" width="5.875" style="38" customWidth="1"/>
    <col min="15106" max="15106" width="21.25" style="38" customWidth="1"/>
    <col min="15107" max="15107" width="11.25" style="38" customWidth="1"/>
    <col min="15108" max="15121" width="19.625" style="38" customWidth="1"/>
    <col min="15122" max="15122" width="0" style="38" hidden="1" customWidth="1"/>
    <col min="15123" max="15141" width="17.375" style="38" customWidth="1"/>
    <col min="15142" max="15360" width="13.375" style="38"/>
    <col min="15361" max="15361" width="5.875" style="38" customWidth="1"/>
    <col min="15362" max="15362" width="21.25" style="38" customWidth="1"/>
    <col min="15363" max="15363" width="11.25" style="38" customWidth="1"/>
    <col min="15364" max="15377" width="19.625" style="38" customWidth="1"/>
    <col min="15378" max="15378" width="0" style="38" hidden="1" customWidth="1"/>
    <col min="15379" max="15397" width="17.375" style="38" customWidth="1"/>
    <col min="15398" max="15616" width="13.375" style="38"/>
    <col min="15617" max="15617" width="5.875" style="38" customWidth="1"/>
    <col min="15618" max="15618" width="21.25" style="38" customWidth="1"/>
    <col min="15619" max="15619" width="11.25" style="38" customWidth="1"/>
    <col min="15620" max="15633" width="19.625" style="38" customWidth="1"/>
    <col min="15634" max="15634" width="0" style="38" hidden="1" customWidth="1"/>
    <col min="15635" max="15653" width="17.375" style="38" customWidth="1"/>
    <col min="15654" max="15872" width="13.375" style="38"/>
    <col min="15873" max="15873" width="5.875" style="38" customWidth="1"/>
    <col min="15874" max="15874" width="21.25" style="38" customWidth="1"/>
    <col min="15875" max="15875" width="11.25" style="38" customWidth="1"/>
    <col min="15876" max="15889" width="19.625" style="38" customWidth="1"/>
    <col min="15890" max="15890" width="0" style="38" hidden="1" customWidth="1"/>
    <col min="15891" max="15909" width="17.375" style="38" customWidth="1"/>
    <col min="15910" max="16128" width="13.375" style="38"/>
    <col min="16129" max="16129" width="5.875" style="38" customWidth="1"/>
    <col min="16130" max="16130" width="21.25" style="38" customWidth="1"/>
    <col min="16131" max="16131" width="11.25" style="38" customWidth="1"/>
    <col min="16132" max="16145" width="19.625" style="38" customWidth="1"/>
    <col min="16146" max="16146" width="0" style="38" hidden="1" customWidth="1"/>
    <col min="16147" max="16165" width="17.375" style="38" customWidth="1"/>
    <col min="16166" max="16384" width="13.375" style="38"/>
  </cols>
  <sheetData>
    <row r="1" spans="1:18" ht="32.25">
      <c r="A1" s="294" t="s">
        <v>95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8" ht="32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ht="19.5" thickBot="1">
      <c r="A3" s="39"/>
      <c r="B3" s="40" t="s">
        <v>96</v>
      </c>
      <c r="C3" s="4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 t="s">
        <v>97</v>
      </c>
    </row>
    <row r="4" spans="1:18">
      <c r="A4" s="4"/>
      <c r="B4" s="5"/>
      <c r="C4" s="5"/>
      <c r="D4" s="42" t="s">
        <v>1</v>
      </c>
      <c r="E4" s="6" t="s">
        <v>98</v>
      </c>
      <c r="F4" s="7" t="s">
        <v>2</v>
      </c>
      <c r="G4" s="6" t="s">
        <v>99</v>
      </c>
      <c r="H4" s="43" t="s">
        <v>3</v>
      </c>
      <c r="I4" s="42" t="s">
        <v>4</v>
      </c>
      <c r="J4" s="42" t="s">
        <v>100</v>
      </c>
      <c r="K4" s="43" t="s">
        <v>5</v>
      </c>
      <c r="L4" s="42" t="s">
        <v>101</v>
      </c>
      <c r="M4" s="42" t="s">
        <v>6</v>
      </c>
      <c r="N4" s="42" t="s">
        <v>7</v>
      </c>
      <c r="O4" s="42" t="s">
        <v>8</v>
      </c>
      <c r="P4" s="6" t="s">
        <v>115</v>
      </c>
      <c r="Q4" s="8" t="s">
        <v>93</v>
      </c>
      <c r="R4" s="44"/>
    </row>
    <row r="5" spans="1:18">
      <c r="A5" s="9" t="s">
        <v>0</v>
      </c>
      <c r="B5" s="292" t="s">
        <v>10</v>
      </c>
      <c r="C5" s="10" t="s">
        <v>11</v>
      </c>
      <c r="D5" s="11">
        <f>SUM('１月:１２月'!D5)</f>
        <v>0.13</v>
      </c>
      <c r="E5" s="11">
        <f>SUM('１月:１２月'!E5)</f>
        <v>0</v>
      </c>
      <c r="F5" s="11">
        <f>SUM('１月:１２月'!F5)</f>
        <v>0.13</v>
      </c>
      <c r="G5" s="11">
        <f>SUM('１月:１２月'!G5)</f>
        <v>735.15430000000003</v>
      </c>
      <c r="H5" s="11">
        <f>SUM('１月:１２月'!H5)</f>
        <v>5655.1202000000003</v>
      </c>
      <c r="I5" s="11">
        <f>SUM('１月:１２月'!I5)</f>
        <v>0</v>
      </c>
      <c r="J5" s="11">
        <f>SUM('１月:１２月'!J5)</f>
        <v>5655.1202000000003</v>
      </c>
      <c r="K5" s="11">
        <f>SUM('１月:１２月'!K5)</f>
        <v>3433.0234000000005</v>
      </c>
      <c r="L5" s="11">
        <f>SUM('１月:１２月'!L5)</f>
        <v>37.631799999999998</v>
      </c>
      <c r="M5" s="11">
        <f>SUM('１月:１２月'!M5)</f>
        <v>0</v>
      </c>
      <c r="N5" s="11">
        <f>SUM('１月:１２月'!N5)</f>
        <v>0.85299999999999998</v>
      </c>
      <c r="O5" s="11">
        <f>SUM('１月:１２月'!O5)</f>
        <v>0</v>
      </c>
      <c r="P5" s="11">
        <f>SUM('１月:１２月'!P5)</f>
        <v>0</v>
      </c>
      <c r="Q5" s="12">
        <f>SUM(F5:G5,J5:P5)</f>
        <v>9861.9126999999989</v>
      </c>
      <c r="R5" s="44"/>
    </row>
    <row r="6" spans="1:18">
      <c r="A6" s="13" t="s">
        <v>12</v>
      </c>
      <c r="B6" s="293"/>
      <c r="C6" s="14" t="s">
        <v>13</v>
      </c>
      <c r="D6" s="15">
        <v>0</v>
      </c>
      <c r="E6" s="15">
        <f>SUM('１月:１２月'!E6)</f>
        <v>0</v>
      </c>
      <c r="F6" s="15">
        <f>SUM('１月:１２月'!F6)</f>
        <v>78.720001877225158</v>
      </c>
      <c r="G6" s="15">
        <f>SUM('１月:１２月'!G6)</f>
        <v>93547.858999999982</v>
      </c>
      <c r="H6" s="15">
        <f>SUM('１月:１２月'!H6)</f>
        <v>446410.40099999995</v>
      </c>
      <c r="I6" s="15">
        <f>SUM('１月:１２月'!I6)</f>
        <v>0</v>
      </c>
      <c r="J6" s="15">
        <f>SUM('１月:１２月'!J6)</f>
        <v>446410.40099999995</v>
      </c>
      <c r="K6" s="15">
        <f>SUM('１月:１２月'!K6)</f>
        <v>204649.57399999999</v>
      </c>
      <c r="L6" s="15">
        <f>SUM('１月:１２月'!L6)</f>
        <v>685.38300000000004</v>
      </c>
      <c r="M6" s="15">
        <f>SUM('１月:１２月'!M6)</f>
        <v>0</v>
      </c>
      <c r="N6" s="15">
        <f>SUM('１月:１２月'!N6)</f>
        <v>17.503</v>
      </c>
      <c r="O6" s="15">
        <f>SUM('１月:１２月'!O6)</f>
        <v>0</v>
      </c>
      <c r="P6" s="15">
        <f>SUM('１月:１２月'!P6)</f>
        <v>0</v>
      </c>
      <c r="Q6" s="16">
        <f>SUM(F6:G6,J6:P6)</f>
        <v>745389.44000187726</v>
      </c>
      <c r="R6" s="44"/>
    </row>
    <row r="7" spans="1:18">
      <c r="A7" s="13" t="s">
        <v>14</v>
      </c>
      <c r="B7" s="17" t="s">
        <v>15</v>
      </c>
      <c r="C7" s="10" t="s">
        <v>11</v>
      </c>
      <c r="D7" s="11">
        <f>SUM('１月:１２月'!D7)</f>
        <v>0</v>
      </c>
      <c r="E7" s="11">
        <f>SUM('１月:１２月'!E7)</f>
        <v>95.08</v>
      </c>
      <c r="F7" s="11">
        <f>SUM('１月:１２月'!F7)</f>
        <v>95.08</v>
      </c>
      <c r="G7" s="11">
        <f>SUM('１月:１２月'!G7)</f>
        <v>0.38150000000000001</v>
      </c>
      <c r="H7" s="11">
        <f>SUM('１月:１２月'!H7)</f>
        <v>2440.5390000000002</v>
      </c>
      <c r="I7" s="11">
        <f>SUM('１月:１２月'!I7)</f>
        <v>0</v>
      </c>
      <c r="J7" s="11">
        <f>SUM('１月:１２月'!J7)</f>
        <v>2440.5390000000002</v>
      </c>
      <c r="K7" s="11">
        <f>SUM('１月:１２月'!K7)</f>
        <v>812.71100000000001</v>
      </c>
      <c r="L7" s="11">
        <f>SUM('１月:１２月'!L7)</f>
        <v>1.6</v>
      </c>
      <c r="M7" s="11">
        <f>SUM('１月:１２月'!M7)</f>
        <v>0</v>
      </c>
      <c r="N7" s="11">
        <f>SUM('１月:１２月'!N7)</f>
        <v>0</v>
      </c>
      <c r="O7" s="11">
        <f>SUM('１月:１２月'!O7)</f>
        <v>0</v>
      </c>
      <c r="P7" s="11">
        <f>SUM('１月:１２月'!P7)</f>
        <v>0</v>
      </c>
      <c r="Q7" s="12">
        <f t="shared" ref="Q7:Q68" si="0">SUM(F7:G7,J7:P7)</f>
        <v>3350.3115000000003</v>
      </c>
      <c r="R7" s="44"/>
    </row>
    <row r="8" spans="1:18">
      <c r="A8" s="13" t="s">
        <v>16</v>
      </c>
      <c r="B8" s="14" t="s">
        <v>17</v>
      </c>
      <c r="C8" s="14" t="s">
        <v>13</v>
      </c>
      <c r="D8" s="15">
        <f>SUM('１月:１２月'!D8)</f>
        <v>0</v>
      </c>
      <c r="E8" s="15">
        <f>SUM('１月:１２月'!E8)</f>
        <v>2758.8969999999999</v>
      </c>
      <c r="F8" s="15">
        <f>SUM('１月:１２月'!F8)</f>
        <v>2758.8969999999999</v>
      </c>
      <c r="G8" s="15">
        <f>SUM('１月:１２月'!G8)</f>
        <v>5.0389999999999997</v>
      </c>
      <c r="H8" s="15">
        <f>SUM('１月:１２月'!H8)</f>
        <v>119262.38500000001</v>
      </c>
      <c r="I8" s="15">
        <f>SUM('１月:１２月'!I8)</f>
        <v>0</v>
      </c>
      <c r="J8" s="15">
        <f>SUM('１月:１２月'!J8)</f>
        <v>119262.38500000001</v>
      </c>
      <c r="K8" s="15">
        <f>SUM('１月:１２月'!K8)</f>
        <v>37993.755999999994</v>
      </c>
      <c r="L8" s="15">
        <f>SUM('１月:１２月'!L8)</f>
        <v>20.513000000000002</v>
      </c>
      <c r="M8" s="15">
        <f>SUM('１月:１２月'!M8)</f>
        <v>0</v>
      </c>
      <c r="N8" s="15">
        <f>SUM('１月:１２月'!N8)</f>
        <v>0</v>
      </c>
      <c r="O8" s="15">
        <f>SUM('１月:１２月'!O8)</f>
        <v>0</v>
      </c>
      <c r="P8" s="15">
        <f>SUM('１月:１２月'!P8)</f>
        <v>0</v>
      </c>
      <c r="Q8" s="16">
        <f t="shared" si="0"/>
        <v>160040.59</v>
      </c>
      <c r="R8" s="44"/>
    </row>
    <row r="9" spans="1:18">
      <c r="A9" s="13" t="s">
        <v>18</v>
      </c>
      <c r="B9" s="295" t="s">
        <v>19</v>
      </c>
      <c r="C9" s="10" t="s">
        <v>11</v>
      </c>
      <c r="D9" s="11">
        <f>+D5+D7</f>
        <v>0.13</v>
      </c>
      <c r="E9" s="11">
        <f>+E5+E7</f>
        <v>95.08</v>
      </c>
      <c r="F9" s="11">
        <f t="shared" ref="F9:O10" si="1">+F5+F7</f>
        <v>95.21</v>
      </c>
      <c r="G9" s="11">
        <f t="shared" si="1"/>
        <v>735.53579999999999</v>
      </c>
      <c r="H9" s="11">
        <f t="shared" si="1"/>
        <v>8095.6592000000001</v>
      </c>
      <c r="I9" s="11">
        <f t="shared" si="1"/>
        <v>0</v>
      </c>
      <c r="J9" s="11">
        <f t="shared" si="1"/>
        <v>8095.6592000000001</v>
      </c>
      <c r="K9" s="11">
        <f t="shared" si="1"/>
        <v>4245.7344000000003</v>
      </c>
      <c r="L9" s="11">
        <f t="shared" si="1"/>
        <v>39.2318</v>
      </c>
      <c r="M9" s="11">
        <f t="shared" si="1"/>
        <v>0</v>
      </c>
      <c r="N9" s="11">
        <f t="shared" si="1"/>
        <v>0.85299999999999998</v>
      </c>
      <c r="O9" s="11">
        <f t="shared" si="1"/>
        <v>0</v>
      </c>
      <c r="P9" s="11">
        <f t="shared" ref="P9" si="2">+P5+P7</f>
        <v>0</v>
      </c>
      <c r="Q9" s="12">
        <f t="shared" si="0"/>
        <v>13212.224199999999</v>
      </c>
      <c r="R9" s="44"/>
    </row>
    <row r="10" spans="1:18">
      <c r="A10" s="18"/>
      <c r="B10" s="296"/>
      <c r="C10" s="14" t="s">
        <v>13</v>
      </c>
      <c r="D10" s="15">
        <f>+D6+D8</f>
        <v>0</v>
      </c>
      <c r="E10" s="15">
        <f>+E6+E8</f>
        <v>2758.8969999999999</v>
      </c>
      <c r="F10" s="15">
        <f t="shared" si="1"/>
        <v>2837.617001877225</v>
      </c>
      <c r="G10" s="15">
        <f t="shared" si="1"/>
        <v>93552.897999999986</v>
      </c>
      <c r="H10" s="15">
        <f t="shared" si="1"/>
        <v>565672.78599999996</v>
      </c>
      <c r="I10" s="15">
        <f t="shared" si="1"/>
        <v>0</v>
      </c>
      <c r="J10" s="15">
        <f t="shared" si="1"/>
        <v>565672.78599999996</v>
      </c>
      <c r="K10" s="15">
        <f t="shared" si="1"/>
        <v>242643.33</v>
      </c>
      <c r="L10" s="15">
        <f t="shared" si="1"/>
        <v>705.89600000000007</v>
      </c>
      <c r="M10" s="15">
        <f t="shared" si="1"/>
        <v>0</v>
      </c>
      <c r="N10" s="15">
        <f t="shared" si="1"/>
        <v>17.503</v>
      </c>
      <c r="O10" s="15">
        <f t="shared" si="1"/>
        <v>0</v>
      </c>
      <c r="P10" s="15">
        <f t="shared" ref="P10" si="3">+P6+P8</f>
        <v>0</v>
      </c>
      <c r="Q10" s="16">
        <f t="shared" si="0"/>
        <v>905430.03000187711</v>
      </c>
      <c r="R10" s="44"/>
    </row>
    <row r="11" spans="1:18">
      <c r="A11" s="297" t="s">
        <v>20</v>
      </c>
      <c r="B11" s="298"/>
      <c r="C11" s="10" t="s">
        <v>11</v>
      </c>
      <c r="D11" s="11">
        <f>SUM('１月:１２月'!D11)</f>
        <v>540.12239999999997</v>
      </c>
      <c r="E11" s="11">
        <f>SUM('１月:１２月'!E11)</f>
        <v>23.860899999999997</v>
      </c>
      <c r="F11" s="11">
        <f>SUM('１月:１２月'!F11)</f>
        <v>563.9833000000001</v>
      </c>
      <c r="G11" s="11">
        <f>SUM('１月:１２月'!G11)</f>
        <v>19893.947699999997</v>
      </c>
      <c r="H11" s="11">
        <f>SUM('１月:１２月'!H11)</f>
        <v>12166.064399999999</v>
      </c>
      <c r="I11" s="11">
        <f>SUM('１月:１２月'!I11)</f>
        <v>0</v>
      </c>
      <c r="J11" s="11">
        <f>SUM('１月:１２月'!J11)</f>
        <v>12166.064399999999</v>
      </c>
      <c r="K11" s="11">
        <f>SUM('１月:１２月'!K11)</f>
        <v>2936.6554000000001</v>
      </c>
      <c r="L11" s="11">
        <f>SUM('１月:１２月'!L11)</f>
        <v>5.1736000000000004</v>
      </c>
      <c r="M11" s="11">
        <f>SUM('１月:１２月'!M11)</f>
        <v>0</v>
      </c>
      <c r="N11" s="11">
        <f>SUM('１月:１２月'!N11)</f>
        <v>0</v>
      </c>
      <c r="O11" s="11">
        <f>SUM('１月:１２月'!O11)</f>
        <v>0</v>
      </c>
      <c r="P11" s="11">
        <f>SUM('１月:１２月'!P11)</f>
        <v>0</v>
      </c>
      <c r="Q11" s="12">
        <f t="shared" si="0"/>
        <v>35565.824399999998</v>
      </c>
      <c r="R11" s="44"/>
    </row>
    <row r="12" spans="1:18">
      <c r="A12" s="299"/>
      <c r="B12" s="300"/>
      <c r="C12" s="14" t="s">
        <v>13</v>
      </c>
      <c r="D12" s="15">
        <f>SUM('１月:１２月'!D12)</f>
        <v>161577.20398039219</v>
      </c>
      <c r="E12" s="15">
        <f>SUM('１月:１２月'!E12)</f>
        <v>5171.9830000000002</v>
      </c>
      <c r="F12" s="15">
        <f>SUM('１月:１２月'!F12)</f>
        <v>166749.1869803922</v>
      </c>
      <c r="G12" s="15">
        <f>SUM('１月:１２月'!G12)</f>
        <v>6265104.8129999992</v>
      </c>
      <c r="H12" s="15">
        <f>SUM('１月:１２月'!H12)</f>
        <v>2011163.5720000002</v>
      </c>
      <c r="I12" s="15">
        <f>SUM('１月:１２月'!I12)</f>
        <v>0</v>
      </c>
      <c r="J12" s="15">
        <f>SUM('１月:１２月'!J12)</f>
        <v>2011163.5720000002</v>
      </c>
      <c r="K12" s="15">
        <f>SUM('１月:１２月'!K12)</f>
        <v>591796.70199999993</v>
      </c>
      <c r="L12" s="15">
        <f>SUM('１月:１２月'!L12)</f>
        <v>1294.354</v>
      </c>
      <c r="M12" s="15">
        <f>SUM('１月:１２月'!M12)</f>
        <v>0</v>
      </c>
      <c r="N12" s="15">
        <f>SUM('１月:１２月'!N12)</f>
        <v>0</v>
      </c>
      <c r="O12" s="15">
        <f>SUM('１月:１２月'!O12)</f>
        <v>0</v>
      </c>
      <c r="P12" s="15">
        <f>SUM('１月:１２月'!P12)</f>
        <v>0</v>
      </c>
      <c r="Q12" s="16">
        <f t="shared" si="0"/>
        <v>9036108.6279803906</v>
      </c>
      <c r="R12" s="44"/>
    </row>
    <row r="13" spans="1:18">
      <c r="A13" s="19"/>
      <c r="B13" s="292" t="s">
        <v>21</v>
      </c>
      <c r="C13" s="10" t="s">
        <v>11</v>
      </c>
      <c r="D13" s="11">
        <f>SUM('１月:１２月'!D13)</f>
        <v>260.20369999999997</v>
      </c>
      <c r="E13" s="11">
        <f>SUM('１月:１２月'!E13)</f>
        <v>88.049600000000012</v>
      </c>
      <c r="F13" s="11">
        <f>SUM('１月:１２月'!F13)</f>
        <v>348.25330000000002</v>
      </c>
      <c r="G13" s="11">
        <f>SUM('１月:１２月'!G13)</f>
        <v>24.040099999999999</v>
      </c>
      <c r="H13" s="11">
        <f>SUM('１月:１２月'!H13)</f>
        <v>51.105999999999987</v>
      </c>
      <c r="I13" s="11">
        <f>SUM('１月:１２月'!I13)</f>
        <v>0</v>
      </c>
      <c r="J13" s="11">
        <f>SUM('１月:１２月'!J13)</f>
        <v>51.105999999999987</v>
      </c>
      <c r="K13" s="11">
        <f>SUM('１月:１２月'!K13)</f>
        <v>5.6490000000000009</v>
      </c>
      <c r="L13" s="11">
        <f>SUM('１月:１２月'!L13)</f>
        <v>1.6629</v>
      </c>
      <c r="M13" s="11">
        <f>SUM('１月:１２月'!M13)</f>
        <v>0</v>
      </c>
      <c r="N13" s="11">
        <f>SUM('１月:１２月'!N13)</f>
        <v>0</v>
      </c>
      <c r="O13" s="11">
        <f>SUM('１月:１２月'!O13)</f>
        <v>0</v>
      </c>
      <c r="P13" s="11">
        <f>SUM('１月:１２月'!P13)</f>
        <v>0</v>
      </c>
      <c r="Q13" s="12">
        <f t="shared" si="0"/>
        <v>430.71129999999999</v>
      </c>
      <c r="R13" s="44"/>
    </row>
    <row r="14" spans="1:18">
      <c r="A14" s="9" t="s">
        <v>0</v>
      </c>
      <c r="B14" s="293"/>
      <c r="C14" s="14" t="s">
        <v>13</v>
      </c>
      <c r="D14" s="15">
        <f>SUM('１月:１２月'!D14)</f>
        <v>319346.67354079644</v>
      </c>
      <c r="E14" s="15">
        <f>SUM('１月:１２月'!E14)</f>
        <v>274689.46600000001</v>
      </c>
      <c r="F14" s="15">
        <f>SUM('１月:１２月'!F14)</f>
        <v>594036.1395407964</v>
      </c>
      <c r="G14" s="15">
        <f>SUM('１月:１２月'!G14)</f>
        <v>44392.771000000008</v>
      </c>
      <c r="H14" s="15">
        <f>SUM('１月:１２月'!H14)</f>
        <v>103971.32399999999</v>
      </c>
      <c r="I14" s="15">
        <f>SUM('１月:１２月'!I14)</f>
        <v>0</v>
      </c>
      <c r="J14" s="15">
        <f>SUM('１月:１２月'!J14)</f>
        <v>103971.32399999999</v>
      </c>
      <c r="K14" s="15">
        <f>SUM('１月:１２月'!K14)</f>
        <v>12111.633</v>
      </c>
      <c r="L14" s="15">
        <f>SUM('１月:１２月'!L14)</f>
        <v>5257.4130000000005</v>
      </c>
      <c r="M14" s="15">
        <f>SUM('１月:１２月'!M14)</f>
        <v>0</v>
      </c>
      <c r="N14" s="15">
        <f>SUM('１月:１２月'!N14)</f>
        <v>0</v>
      </c>
      <c r="O14" s="15">
        <f>SUM('１月:１２月'!O14)</f>
        <v>0</v>
      </c>
      <c r="P14" s="15">
        <f>SUM('１月:１２月'!P14)</f>
        <v>0</v>
      </c>
      <c r="Q14" s="16">
        <f t="shared" si="0"/>
        <v>759769.28054079646</v>
      </c>
      <c r="R14" s="44"/>
    </row>
    <row r="15" spans="1:18">
      <c r="A15" s="13" t="s">
        <v>22</v>
      </c>
      <c r="B15" s="292" t="s">
        <v>23</v>
      </c>
      <c r="C15" s="10" t="s">
        <v>11</v>
      </c>
      <c r="D15" s="11">
        <f>SUM('１月:１２月'!D15)</f>
        <v>46.5212</v>
      </c>
      <c r="E15" s="11">
        <f>SUM('１月:１２月'!E15)</f>
        <v>2.3646000000000003</v>
      </c>
      <c r="F15" s="11">
        <f>SUM('１月:１２月'!F15)</f>
        <v>48.885800000000003</v>
      </c>
      <c r="G15" s="11">
        <f>SUM('１月:１２月'!G15)</f>
        <v>30.291399999999999</v>
      </c>
      <c r="H15" s="11">
        <f>SUM('１月:１２月'!H15)</f>
        <v>39.965100000000007</v>
      </c>
      <c r="I15" s="11">
        <f>SUM('１月:１２月'!I15)</f>
        <v>0</v>
      </c>
      <c r="J15" s="11">
        <f>SUM('１月:１２月'!J15)</f>
        <v>39.965100000000007</v>
      </c>
      <c r="K15" s="11">
        <f>SUM('１月:１２月'!K15)</f>
        <v>13.023400000000002</v>
      </c>
      <c r="L15" s="11">
        <f>SUM('１月:１２月'!L15)</f>
        <v>0.56520000000000004</v>
      </c>
      <c r="M15" s="11">
        <f>SUM('１月:１２月'!M15)</f>
        <v>0</v>
      </c>
      <c r="N15" s="11">
        <f>SUM('１月:１２月'!N15)</f>
        <v>0.1542</v>
      </c>
      <c r="O15" s="11">
        <f>SUM('１月:１２月'!O15)</f>
        <v>0</v>
      </c>
      <c r="P15" s="11">
        <f>SUM('１月:１２月'!P15)</f>
        <v>0</v>
      </c>
      <c r="Q15" s="12">
        <f t="shared" si="0"/>
        <v>132.88510000000002</v>
      </c>
      <c r="R15" s="44"/>
    </row>
    <row r="16" spans="1:18">
      <c r="A16" s="13" t="s">
        <v>0</v>
      </c>
      <c r="B16" s="293"/>
      <c r="C16" s="14" t="s">
        <v>13</v>
      </c>
      <c r="D16" s="15">
        <f>SUM('１月:１２月'!D16)</f>
        <v>18927.055103927683</v>
      </c>
      <c r="E16" s="15">
        <f>SUM('１月:１２月'!E16)</f>
        <v>2578.9049999999997</v>
      </c>
      <c r="F16" s="15">
        <f>SUM('１月:１２月'!F16)</f>
        <v>21505.960103927686</v>
      </c>
      <c r="G16" s="15">
        <f>SUM('１月:１２月'!G16)</f>
        <v>25847.055</v>
      </c>
      <c r="H16" s="15">
        <f>SUM('１月:１２月'!H16)</f>
        <v>48014.113000000005</v>
      </c>
      <c r="I16" s="15">
        <f>SUM('１月:１２月'!I16)</f>
        <v>0</v>
      </c>
      <c r="J16" s="15">
        <f>SUM('１月:１２月'!J16)</f>
        <v>48014.113000000005</v>
      </c>
      <c r="K16" s="15">
        <f>SUM('１月:１２月'!K16)</f>
        <v>15620.563000000002</v>
      </c>
      <c r="L16" s="15">
        <f>SUM('１月:１２月'!L16)</f>
        <v>744.08199999999988</v>
      </c>
      <c r="M16" s="15">
        <f>SUM('１月:１２月'!M16)</f>
        <v>0</v>
      </c>
      <c r="N16" s="15">
        <f>SUM('１月:１２月'!N16)</f>
        <v>148.23000000000002</v>
      </c>
      <c r="O16" s="15">
        <f>SUM('１月:１２月'!O16)</f>
        <v>0</v>
      </c>
      <c r="P16" s="15">
        <f>SUM('１月:１２月'!P16)</f>
        <v>0</v>
      </c>
      <c r="Q16" s="16">
        <f t="shared" si="0"/>
        <v>111880.00310392767</v>
      </c>
      <c r="R16" s="44"/>
    </row>
    <row r="17" spans="1:18">
      <c r="A17" s="13" t="s">
        <v>24</v>
      </c>
      <c r="B17" s="292" t="s">
        <v>25</v>
      </c>
      <c r="C17" s="10" t="s">
        <v>11</v>
      </c>
      <c r="D17" s="11">
        <f>SUM('１月:１２月'!D17)</f>
        <v>1205.3188000000002</v>
      </c>
      <c r="E17" s="11">
        <f>SUM('１月:１２月'!E17)</f>
        <v>726.43269999999995</v>
      </c>
      <c r="F17" s="11">
        <f>SUM('１月:１２月'!F17)</f>
        <v>1931.7515000000001</v>
      </c>
      <c r="G17" s="11">
        <f>SUM('１月:１２月'!G17)</f>
        <v>1471.3041000000001</v>
      </c>
      <c r="H17" s="11">
        <f>SUM('１月:１２月'!H17)</f>
        <v>585.72199999999998</v>
      </c>
      <c r="I17" s="11">
        <f>SUM('１月:１２月'!I17)</f>
        <v>0</v>
      </c>
      <c r="J17" s="11">
        <f>SUM('１月:１２月'!J17)</f>
        <v>585.72199999999998</v>
      </c>
      <c r="K17" s="11">
        <f>SUM('１月:１２月'!K17)</f>
        <v>104.23099999999999</v>
      </c>
      <c r="L17" s="11">
        <f>SUM('１月:１２月'!L17)</f>
        <v>2.8927499999999999</v>
      </c>
      <c r="M17" s="11">
        <f>SUM('１月:１２月'!M17)</f>
        <v>0</v>
      </c>
      <c r="N17" s="11">
        <f>SUM('１月:１２月'!N17)</f>
        <v>0</v>
      </c>
      <c r="O17" s="11">
        <f>SUM('１月:１２月'!O17)</f>
        <v>0</v>
      </c>
      <c r="P17" s="11">
        <f>SUM('１月:１２月'!P17)</f>
        <v>0</v>
      </c>
      <c r="Q17" s="12">
        <f t="shared" si="0"/>
        <v>4095.9013500000001</v>
      </c>
      <c r="R17" s="44"/>
    </row>
    <row r="18" spans="1:18">
      <c r="A18" s="13"/>
      <c r="B18" s="293"/>
      <c r="C18" s="14" t="s">
        <v>13</v>
      </c>
      <c r="D18" s="15">
        <f>SUM('１月:１２月'!D18)</f>
        <v>1679031.1682211962</v>
      </c>
      <c r="E18" s="15">
        <f>SUM('１月:１２月'!E18)</f>
        <v>1028725.2320000001</v>
      </c>
      <c r="F18" s="15">
        <f>SUM('１月:１２月'!F18)</f>
        <v>2707756.400221196</v>
      </c>
      <c r="G18" s="15">
        <f>SUM('１月:１２月'!G18)</f>
        <v>948880.4360000001</v>
      </c>
      <c r="H18" s="15">
        <f>SUM('１月:１２月'!H18)</f>
        <v>128801.17600000001</v>
      </c>
      <c r="I18" s="15">
        <f>SUM('１月:１２月'!I18)</f>
        <v>0</v>
      </c>
      <c r="J18" s="15">
        <f>SUM('１月:１２月'!J18)</f>
        <v>128801.17600000001</v>
      </c>
      <c r="K18" s="15">
        <f>SUM('１月:１２月'!K18)</f>
        <v>28572.713</v>
      </c>
      <c r="L18" s="15">
        <f>SUM('１月:１２月'!L18)</f>
        <v>4723.8910000000005</v>
      </c>
      <c r="M18" s="15">
        <f>SUM('１月:１２月'!M18)</f>
        <v>0</v>
      </c>
      <c r="N18" s="15">
        <f>SUM('１月:１２月'!N18)</f>
        <v>0</v>
      </c>
      <c r="O18" s="15">
        <f>SUM('１月:１２月'!O18)</f>
        <v>0</v>
      </c>
      <c r="P18" s="15">
        <f>SUM('１月:１２月'!P18)</f>
        <v>0</v>
      </c>
      <c r="Q18" s="16">
        <f t="shared" si="0"/>
        <v>3818734.616221196</v>
      </c>
      <c r="R18" s="44"/>
    </row>
    <row r="19" spans="1:18">
      <c r="A19" s="13" t="s">
        <v>26</v>
      </c>
      <c r="B19" s="17" t="s">
        <v>27</v>
      </c>
      <c r="C19" s="10" t="s">
        <v>11</v>
      </c>
      <c r="D19" s="11">
        <f>SUM('１月:１２月'!D19)</f>
        <v>207.15189999999998</v>
      </c>
      <c r="E19" s="11">
        <f>SUM('１月:１２月'!E19)</f>
        <v>224.0864</v>
      </c>
      <c r="F19" s="11">
        <f>SUM('１月:１２月'!F19)</f>
        <v>431.23830000000004</v>
      </c>
      <c r="G19" s="11">
        <f>SUM('１月:１２月'!G19)</f>
        <v>466.78740000000005</v>
      </c>
      <c r="H19" s="11">
        <f>SUM('１月:１２月'!H19)</f>
        <v>310.37799999999999</v>
      </c>
      <c r="I19" s="11">
        <f>SUM('１月:１２月'!I19)</f>
        <v>0</v>
      </c>
      <c r="J19" s="11">
        <f>SUM('１月:１２月'!J19)</f>
        <v>310.37799999999999</v>
      </c>
      <c r="K19" s="11">
        <f>SUM('１月:１２月'!K19)</f>
        <v>37.229000000000006</v>
      </c>
      <c r="L19" s="11">
        <f>SUM('１月:１２月'!L19)</f>
        <v>0</v>
      </c>
      <c r="M19" s="11">
        <f>SUM('１月:１２月'!M19)</f>
        <v>0</v>
      </c>
      <c r="N19" s="11">
        <f>SUM('１月:１２月'!N19)</f>
        <v>0</v>
      </c>
      <c r="O19" s="11">
        <f>SUM('１月:１２月'!O19)</f>
        <v>0</v>
      </c>
      <c r="P19" s="11">
        <f>SUM('１月:１２月'!P19)</f>
        <v>0</v>
      </c>
      <c r="Q19" s="12">
        <f t="shared" si="0"/>
        <v>1245.6327000000001</v>
      </c>
      <c r="R19" s="44"/>
    </row>
    <row r="20" spans="1:18">
      <c r="A20" s="13"/>
      <c r="B20" s="14" t="s">
        <v>28</v>
      </c>
      <c r="C20" s="14" t="s">
        <v>13</v>
      </c>
      <c r="D20" s="15">
        <f>SUM('１月:１２月'!D20)</f>
        <v>155645.84796350673</v>
      </c>
      <c r="E20" s="15">
        <f>SUM('１月:１２月'!E20)</f>
        <v>133616.052</v>
      </c>
      <c r="F20" s="15">
        <f>SUM('１月:１２月'!F20)</f>
        <v>289261.89996350667</v>
      </c>
      <c r="G20" s="15">
        <f>SUM('１月:１２月'!G20)</f>
        <v>268291.28499999997</v>
      </c>
      <c r="H20" s="15">
        <f>SUM('１月:１２月'!H20)</f>
        <v>80699.697</v>
      </c>
      <c r="I20" s="15">
        <f>SUM('１月:１２月'!I20)</f>
        <v>0</v>
      </c>
      <c r="J20" s="15">
        <f>SUM('１月:１２月'!J20)</f>
        <v>80699.697</v>
      </c>
      <c r="K20" s="15">
        <f>SUM('１月:１２月'!K20)</f>
        <v>10233.067000000001</v>
      </c>
      <c r="L20" s="15">
        <f>SUM('１月:１２月'!L20)</f>
        <v>0</v>
      </c>
      <c r="M20" s="15">
        <f>SUM('１月:１２月'!M20)</f>
        <v>0</v>
      </c>
      <c r="N20" s="15">
        <f>SUM('１月:１２月'!N20)</f>
        <v>0</v>
      </c>
      <c r="O20" s="15">
        <f>SUM('１月:１２月'!O20)</f>
        <v>0</v>
      </c>
      <c r="P20" s="15">
        <f>SUM('１月:１２月'!P20)</f>
        <v>0</v>
      </c>
      <c r="Q20" s="16">
        <f t="shared" si="0"/>
        <v>648485.94896350673</v>
      </c>
      <c r="R20" s="44"/>
    </row>
    <row r="21" spans="1:18">
      <c r="A21" s="13" t="s">
        <v>18</v>
      </c>
      <c r="B21" s="292" t="s">
        <v>29</v>
      </c>
      <c r="C21" s="10" t="s">
        <v>11</v>
      </c>
      <c r="D21" s="11">
        <f>SUM('１月:１２月'!D21)</f>
        <v>1368.9033999999999</v>
      </c>
      <c r="E21" s="11">
        <f>SUM('１月:１２月'!E21)</f>
        <v>1429.1491999999998</v>
      </c>
      <c r="F21" s="11">
        <f>SUM('１月:１２月'!F21)</f>
        <v>2798.0526</v>
      </c>
      <c r="G21" s="11">
        <f>SUM('１月:１２月'!G21)</f>
        <v>3918.1410999999998</v>
      </c>
      <c r="H21" s="11">
        <f>SUM('１月:１２月'!H21)</f>
        <v>865.90700000000004</v>
      </c>
      <c r="I21" s="11">
        <f>SUM('１月:１２月'!I21)</f>
        <v>0</v>
      </c>
      <c r="J21" s="11">
        <f>SUM('１月:１２月'!J21)</f>
        <v>865.90700000000004</v>
      </c>
      <c r="K21" s="11">
        <f>SUM('１月:１２月'!K21)</f>
        <v>361.88300000000004</v>
      </c>
      <c r="L21" s="11">
        <f>SUM('１月:１２月'!L21)</f>
        <v>5.1750000000000004E-2</v>
      </c>
      <c r="M21" s="11">
        <f>SUM('１月:１２月'!M21)</f>
        <v>0</v>
      </c>
      <c r="N21" s="11">
        <f>SUM('１月:１２月'!N21)</f>
        <v>0</v>
      </c>
      <c r="O21" s="11">
        <f>SUM('１月:１２月'!O21)</f>
        <v>0</v>
      </c>
      <c r="P21" s="11">
        <f>SUM('１月:１２月'!P21)</f>
        <v>0</v>
      </c>
      <c r="Q21" s="12">
        <f t="shared" si="0"/>
        <v>7944.0354499999994</v>
      </c>
      <c r="R21" s="44"/>
    </row>
    <row r="22" spans="1:18">
      <c r="A22" s="19"/>
      <c r="B22" s="293"/>
      <c r="C22" s="14" t="s">
        <v>13</v>
      </c>
      <c r="D22" s="15">
        <f>SUM('１月:１２月'!D22)</f>
        <v>486747.1449538648</v>
      </c>
      <c r="E22" s="15">
        <f>SUM('１月:１２月'!E22)</f>
        <v>572532.647</v>
      </c>
      <c r="F22" s="15">
        <f>SUM('１月:１２月'!F22)</f>
        <v>1059279.7919538647</v>
      </c>
      <c r="G22" s="15">
        <f>SUM('１月:１２月'!G22)</f>
        <v>1168754.1390000002</v>
      </c>
      <c r="H22" s="15">
        <f>SUM('１月:１２月'!H22)</f>
        <v>234485.20299999998</v>
      </c>
      <c r="I22" s="15">
        <f>SUM('１月:１２月'!I22)</f>
        <v>0</v>
      </c>
      <c r="J22" s="15">
        <f>SUM('１月:１２月'!J22)</f>
        <v>234485.20299999998</v>
      </c>
      <c r="K22" s="15">
        <f>SUM('１月:１２月'!K22)</f>
        <v>96749.978999999978</v>
      </c>
      <c r="L22" s="15">
        <f>SUM('１月:１２月'!L22)</f>
        <v>43.614999999999995</v>
      </c>
      <c r="M22" s="15">
        <f>SUM('１月:１２月'!M22)</f>
        <v>0</v>
      </c>
      <c r="N22" s="15">
        <f>SUM('１月:１２月'!N22)</f>
        <v>0</v>
      </c>
      <c r="O22" s="15">
        <f>SUM('１月:１２月'!O22)</f>
        <v>0</v>
      </c>
      <c r="P22" s="15">
        <f>SUM('１月:１２月'!P22)</f>
        <v>0</v>
      </c>
      <c r="Q22" s="16">
        <f t="shared" si="0"/>
        <v>2559312.7279538647</v>
      </c>
      <c r="R22" s="44"/>
    </row>
    <row r="23" spans="1:18">
      <c r="A23" s="19"/>
      <c r="B23" s="295" t="s">
        <v>19</v>
      </c>
      <c r="C23" s="10" t="s">
        <v>11</v>
      </c>
      <c r="D23" s="11">
        <f>+D13+D15+D17+D19+D21</f>
        <v>3088.0990000000002</v>
      </c>
      <c r="E23" s="11">
        <f>+E13+E15+E17+E19+E21</f>
        <v>2470.0824999999995</v>
      </c>
      <c r="F23" s="11">
        <f t="shared" ref="F23:O24" si="4">+F13+F15+F17+F19+F21</f>
        <v>5558.1815000000006</v>
      </c>
      <c r="G23" s="11">
        <f t="shared" si="4"/>
        <v>5910.5640999999996</v>
      </c>
      <c r="H23" s="11">
        <f t="shared" si="4"/>
        <v>1853.0781000000002</v>
      </c>
      <c r="I23" s="11">
        <f t="shared" si="4"/>
        <v>0</v>
      </c>
      <c r="J23" s="11">
        <f t="shared" si="4"/>
        <v>1853.0781000000002</v>
      </c>
      <c r="K23" s="11">
        <f t="shared" si="4"/>
        <v>522.0154</v>
      </c>
      <c r="L23" s="11">
        <f t="shared" si="4"/>
        <v>5.1726000000000001</v>
      </c>
      <c r="M23" s="11">
        <f t="shared" si="4"/>
        <v>0</v>
      </c>
      <c r="N23" s="11">
        <f t="shared" si="4"/>
        <v>0.1542</v>
      </c>
      <c r="O23" s="11">
        <f t="shared" si="4"/>
        <v>0</v>
      </c>
      <c r="P23" s="11">
        <f t="shared" ref="P23" si="5">+P13+P15+P17+P19+P21</f>
        <v>0</v>
      </c>
      <c r="Q23" s="12">
        <f t="shared" si="0"/>
        <v>13849.165900000002</v>
      </c>
      <c r="R23" s="44"/>
    </row>
    <row r="24" spans="1:18">
      <c r="A24" s="18"/>
      <c r="B24" s="296"/>
      <c r="C24" s="14" t="s">
        <v>13</v>
      </c>
      <c r="D24" s="15">
        <f>+D14+D16+D18+D20+D22</f>
        <v>2659697.8897832916</v>
      </c>
      <c r="E24" s="15">
        <f>+E14+E16+E18+E20+E22</f>
        <v>2012142.3020000001</v>
      </c>
      <c r="F24" s="15">
        <f t="shared" si="4"/>
        <v>4671840.1917832913</v>
      </c>
      <c r="G24" s="15">
        <f t="shared" si="4"/>
        <v>2456165.6860000002</v>
      </c>
      <c r="H24" s="15">
        <f t="shared" si="4"/>
        <v>595971.51300000004</v>
      </c>
      <c r="I24" s="15">
        <f t="shared" si="4"/>
        <v>0</v>
      </c>
      <c r="J24" s="15">
        <f t="shared" si="4"/>
        <v>595971.51300000004</v>
      </c>
      <c r="K24" s="15">
        <f t="shared" si="4"/>
        <v>163287.95499999996</v>
      </c>
      <c r="L24" s="15">
        <f t="shared" si="4"/>
        <v>10769.001000000002</v>
      </c>
      <c r="M24" s="15">
        <f t="shared" si="4"/>
        <v>0</v>
      </c>
      <c r="N24" s="15">
        <f t="shared" si="4"/>
        <v>148.23000000000002</v>
      </c>
      <c r="O24" s="15">
        <f t="shared" si="4"/>
        <v>0</v>
      </c>
      <c r="P24" s="15">
        <f t="shared" ref="P24" si="6">+P14+P16+P18+P20+P22</f>
        <v>0</v>
      </c>
      <c r="Q24" s="16">
        <f t="shared" si="0"/>
        <v>7898182.576783292</v>
      </c>
      <c r="R24" s="44"/>
    </row>
    <row r="25" spans="1:18">
      <c r="A25" s="9" t="s">
        <v>0</v>
      </c>
      <c r="B25" s="292" t="s">
        <v>30</v>
      </c>
      <c r="C25" s="10" t="s">
        <v>11</v>
      </c>
      <c r="D25" s="11">
        <f>SUM('１月:１２月'!D25)</f>
        <v>77.232799999999997</v>
      </c>
      <c r="E25" s="11">
        <f>SUM('１月:１２月'!E25)</f>
        <v>53.137999999999998</v>
      </c>
      <c r="F25" s="11">
        <f>SUM('１月:１２月'!F25)</f>
        <v>130.3708</v>
      </c>
      <c r="G25" s="11">
        <f>SUM('１月:１２月'!G25)</f>
        <v>2373.0741999999996</v>
      </c>
      <c r="H25" s="11">
        <f>SUM('１月:１２月'!H25)</f>
        <v>9.0999999999999998E-2</v>
      </c>
      <c r="I25" s="11">
        <f>SUM('１月:１２月'!I25)</f>
        <v>0</v>
      </c>
      <c r="J25" s="11">
        <f>SUM('１月:１２月'!J25)</f>
        <v>9.0999999999999998E-2</v>
      </c>
      <c r="K25" s="11">
        <f>SUM('１月:１２月'!K25)</f>
        <v>0.11899999999999999</v>
      </c>
      <c r="L25" s="11">
        <f>SUM('１月:１２月'!L25)</f>
        <v>0.56458000000000008</v>
      </c>
      <c r="M25" s="11">
        <f>SUM('１月:１２月'!M25)</f>
        <v>0</v>
      </c>
      <c r="N25" s="11">
        <f>SUM('１月:１２月'!N25)</f>
        <v>0</v>
      </c>
      <c r="O25" s="11">
        <f>SUM('１月:１２月'!O25)</f>
        <v>0</v>
      </c>
      <c r="P25" s="11">
        <f>SUM('１月:１２月'!P25)</f>
        <v>0</v>
      </c>
      <c r="Q25" s="12">
        <f t="shared" si="0"/>
        <v>2504.21958</v>
      </c>
      <c r="R25" s="44"/>
    </row>
    <row r="26" spans="1:18">
      <c r="A26" s="13" t="s">
        <v>31</v>
      </c>
      <c r="B26" s="293"/>
      <c r="C26" s="14" t="s">
        <v>13</v>
      </c>
      <c r="D26" s="15">
        <f>SUM('１月:１２月'!D26)</f>
        <v>54406.66102329475</v>
      </c>
      <c r="E26" s="15">
        <f>SUM('１月:１２月'!E26)</f>
        <v>38548.877999999997</v>
      </c>
      <c r="F26" s="15">
        <f>SUM('１月:１２月'!F26)</f>
        <v>92955.539023294754</v>
      </c>
      <c r="G26" s="15">
        <f>SUM('１月:１２月'!G26)</f>
        <v>2287734.8220000002</v>
      </c>
      <c r="H26" s="15">
        <f>SUM('１月:１２月'!H26)</f>
        <v>98.28</v>
      </c>
      <c r="I26" s="15">
        <f>SUM('１月:１２月'!I26)</f>
        <v>0</v>
      </c>
      <c r="J26" s="15">
        <f>SUM('１月:１２月'!J26)</f>
        <v>98.28</v>
      </c>
      <c r="K26" s="15">
        <f>SUM('１月:１２月'!K26)</f>
        <v>88.402999999999992</v>
      </c>
      <c r="L26" s="15">
        <f>SUM('１月:１２月'!L26)</f>
        <v>716.23300000000006</v>
      </c>
      <c r="M26" s="15">
        <f>SUM('１月:１２月'!M26)</f>
        <v>0</v>
      </c>
      <c r="N26" s="15">
        <f>SUM('１月:１２月'!N26)</f>
        <v>0</v>
      </c>
      <c r="O26" s="15">
        <f>SUM('１月:１２月'!O26)</f>
        <v>0</v>
      </c>
      <c r="P26" s="15">
        <f>SUM('１月:１２月'!P26)</f>
        <v>0</v>
      </c>
      <c r="Q26" s="16">
        <f t="shared" si="0"/>
        <v>2381593.2770232945</v>
      </c>
      <c r="R26" s="44"/>
    </row>
    <row r="27" spans="1:18">
      <c r="A27" s="13" t="s">
        <v>32</v>
      </c>
      <c r="B27" s="17" t="s">
        <v>15</v>
      </c>
      <c r="C27" s="10" t="s">
        <v>11</v>
      </c>
      <c r="D27" s="11">
        <f>SUM('１月:１２月'!D27)</f>
        <v>147.99999999999997</v>
      </c>
      <c r="E27" s="11">
        <f>SUM('１月:１２月'!E27)</f>
        <v>121.27700000000002</v>
      </c>
      <c r="F27" s="11">
        <f>SUM('１月:１２月'!F27)</f>
        <v>269.27700000000004</v>
      </c>
      <c r="G27" s="11">
        <f>SUM('１月:１２月'!G27)</f>
        <v>210.75029999999995</v>
      </c>
      <c r="H27" s="11">
        <f>SUM('１月:１２月'!H27)</f>
        <v>3.4340000000000002</v>
      </c>
      <c r="I27" s="11">
        <f>SUM('１月:１２月'!I27)</f>
        <v>0</v>
      </c>
      <c r="J27" s="11">
        <f>SUM('１月:１２月'!J27)</f>
        <v>3.4340000000000002</v>
      </c>
      <c r="K27" s="11">
        <f>SUM('１月:１２月'!K27)</f>
        <v>0.24300000000000002</v>
      </c>
      <c r="L27" s="11">
        <f>SUM('１月:１２月'!L27)</f>
        <v>0.28000000000000003</v>
      </c>
      <c r="M27" s="11">
        <f>SUM('１月:１２月'!M27)</f>
        <v>0</v>
      </c>
      <c r="N27" s="11">
        <f>SUM('１月:１２月'!N27)</f>
        <v>0</v>
      </c>
      <c r="O27" s="11">
        <f>SUM('１月:１２月'!O27)</f>
        <v>0</v>
      </c>
      <c r="P27" s="11">
        <f>SUM('１月:１２月'!P27)</f>
        <v>0</v>
      </c>
      <c r="Q27" s="12">
        <f t="shared" si="0"/>
        <v>483.98429999999996</v>
      </c>
      <c r="R27" s="44"/>
    </row>
    <row r="28" spans="1:18">
      <c r="A28" s="13" t="s">
        <v>33</v>
      </c>
      <c r="B28" s="14" t="s">
        <v>34</v>
      </c>
      <c r="C28" s="14" t="s">
        <v>13</v>
      </c>
      <c r="D28" s="15">
        <f>SUM('１月:１２月'!D28)</f>
        <v>54892.80549126854</v>
      </c>
      <c r="E28" s="15">
        <f>SUM('１月:１２月'!E28)</f>
        <v>45304.245000000003</v>
      </c>
      <c r="F28" s="15">
        <f>SUM('１月:１２月'!F28)</f>
        <v>100197.05049126854</v>
      </c>
      <c r="G28" s="15">
        <f>SUM('１月:１２月'!G28)</f>
        <v>97311.886999999988</v>
      </c>
      <c r="H28" s="15">
        <f>SUM('１月:１２月'!H28)</f>
        <v>366.61800000000005</v>
      </c>
      <c r="I28" s="15">
        <f>SUM('１月:１２月'!I28)</f>
        <v>0</v>
      </c>
      <c r="J28" s="15">
        <f>SUM('１月:１２月'!J28)</f>
        <v>366.61800000000005</v>
      </c>
      <c r="K28" s="15">
        <f>SUM('１月:１２月'!K28)</f>
        <v>113.557</v>
      </c>
      <c r="L28" s="15">
        <f>SUM('１月:１２月'!L28)</f>
        <v>84.444000000000003</v>
      </c>
      <c r="M28" s="15">
        <f>SUM('１月:１２月'!M28)</f>
        <v>0</v>
      </c>
      <c r="N28" s="15">
        <f>SUM('１月:１２月'!N28)</f>
        <v>0</v>
      </c>
      <c r="O28" s="15">
        <f>SUM('１月:１２月'!O28)</f>
        <v>0</v>
      </c>
      <c r="P28" s="15">
        <f>SUM('１月:１２月'!P28)</f>
        <v>0</v>
      </c>
      <c r="Q28" s="16">
        <f t="shared" si="0"/>
        <v>198073.55649126851</v>
      </c>
      <c r="R28" s="44"/>
    </row>
    <row r="29" spans="1:18">
      <c r="A29" s="13" t="s">
        <v>18</v>
      </c>
      <c r="B29" s="295" t="s">
        <v>19</v>
      </c>
      <c r="C29" s="10" t="s">
        <v>11</v>
      </c>
      <c r="D29" s="11">
        <f>+D25+D27</f>
        <v>225.23279999999997</v>
      </c>
      <c r="E29" s="11">
        <f>+E25+E27</f>
        <v>174.41500000000002</v>
      </c>
      <c r="F29" s="11">
        <f t="shared" ref="F29:O30" si="7">+F25+F27</f>
        <v>399.64780000000007</v>
      </c>
      <c r="G29" s="11">
        <f t="shared" si="7"/>
        <v>2583.8244999999997</v>
      </c>
      <c r="H29" s="11">
        <f t="shared" si="7"/>
        <v>3.5250000000000004</v>
      </c>
      <c r="I29" s="11">
        <f t="shared" si="7"/>
        <v>0</v>
      </c>
      <c r="J29" s="11">
        <f t="shared" si="7"/>
        <v>3.5250000000000004</v>
      </c>
      <c r="K29" s="11">
        <f t="shared" si="7"/>
        <v>0.36199999999999999</v>
      </c>
      <c r="L29" s="11">
        <f t="shared" si="7"/>
        <v>0.84458000000000011</v>
      </c>
      <c r="M29" s="11">
        <f t="shared" si="7"/>
        <v>0</v>
      </c>
      <c r="N29" s="11">
        <f t="shared" si="7"/>
        <v>0</v>
      </c>
      <c r="O29" s="11">
        <f t="shared" si="7"/>
        <v>0</v>
      </c>
      <c r="P29" s="11">
        <f t="shared" ref="P29" si="8">+P25+P27</f>
        <v>0</v>
      </c>
      <c r="Q29" s="12">
        <f t="shared" si="0"/>
        <v>2988.20388</v>
      </c>
      <c r="R29" s="44"/>
    </row>
    <row r="30" spans="1:18">
      <c r="A30" s="18"/>
      <c r="B30" s="296"/>
      <c r="C30" s="14" t="s">
        <v>13</v>
      </c>
      <c r="D30" s="15">
        <f>+D26+D28</f>
        <v>109299.46651456329</v>
      </c>
      <c r="E30" s="15">
        <f>+E26+E28</f>
        <v>83853.122999999992</v>
      </c>
      <c r="F30" s="15">
        <f t="shared" si="7"/>
        <v>193152.5895145633</v>
      </c>
      <c r="G30" s="15">
        <f t="shared" si="7"/>
        <v>2385046.7090000003</v>
      </c>
      <c r="H30" s="15">
        <f t="shared" si="7"/>
        <v>464.89800000000002</v>
      </c>
      <c r="I30" s="15">
        <f t="shared" si="7"/>
        <v>0</v>
      </c>
      <c r="J30" s="15">
        <f t="shared" si="7"/>
        <v>464.89800000000002</v>
      </c>
      <c r="K30" s="15">
        <f t="shared" si="7"/>
        <v>201.95999999999998</v>
      </c>
      <c r="L30" s="15">
        <f t="shared" si="7"/>
        <v>800.67700000000002</v>
      </c>
      <c r="M30" s="15">
        <f t="shared" si="7"/>
        <v>0</v>
      </c>
      <c r="N30" s="15">
        <f t="shared" si="7"/>
        <v>0</v>
      </c>
      <c r="O30" s="15">
        <f t="shared" si="7"/>
        <v>0</v>
      </c>
      <c r="P30" s="15">
        <f t="shared" ref="P30" si="9">+P26+P28</f>
        <v>0</v>
      </c>
      <c r="Q30" s="16">
        <f t="shared" si="0"/>
        <v>2579666.8335145637</v>
      </c>
      <c r="R30" s="44"/>
    </row>
    <row r="31" spans="1:18">
      <c r="A31" s="9" t="s">
        <v>0</v>
      </c>
      <c r="B31" s="292" t="s">
        <v>35</v>
      </c>
      <c r="C31" s="10" t="s">
        <v>11</v>
      </c>
      <c r="D31" s="11">
        <f>SUM('１月:１２月'!D31)</f>
        <v>23.387499999999999</v>
      </c>
      <c r="E31" s="11">
        <f>SUM('１月:１２月'!E31)</f>
        <v>32.310900000000004</v>
      </c>
      <c r="F31" s="11">
        <f>SUM('１月:１２月'!F31)</f>
        <v>55.698399999999999</v>
      </c>
      <c r="G31" s="11">
        <f>SUM('１月:１２月'!G31)</f>
        <v>504.20539999999988</v>
      </c>
      <c r="H31" s="11">
        <f>SUM('１月:１２月'!H31)</f>
        <v>7145.9568999999992</v>
      </c>
      <c r="I31" s="11">
        <f>SUM('１月:１２月'!I31)</f>
        <v>0</v>
      </c>
      <c r="J31" s="11">
        <f>SUM('１月:１２月'!J31)</f>
        <v>7145.9568999999992</v>
      </c>
      <c r="K31" s="11">
        <f>SUM('１月:１２月'!K31)</f>
        <v>1234.8661</v>
      </c>
      <c r="L31" s="11">
        <f>SUM('１月:１２月'!L31)</f>
        <v>469.66580000000005</v>
      </c>
      <c r="M31" s="11">
        <f>SUM('１月:１２月'!M31)</f>
        <v>5.0000000000000001E-3</v>
      </c>
      <c r="N31" s="11">
        <f>SUM('１月:１２月'!N31)</f>
        <v>14.1248</v>
      </c>
      <c r="O31" s="11">
        <f>SUM('１月:１２月'!O31)</f>
        <v>1.6222000000000001</v>
      </c>
      <c r="P31" s="11">
        <f>SUM('１月:１２月'!P31)</f>
        <v>39.930779999999999</v>
      </c>
      <c r="Q31" s="12">
        <f t="shared" si="0"/>
        <v>9466.0753799999984</v>
      </c>
      <c r="R31" s="44"/>
    </row>
    <row r="32" spans="1:18">
      <c r="A32" s="13" t="s">
        <v>36</v>
      </c>
      <c r="B32" s="293"/>
      <c r="C32" s="14" t="s">
        <v>13</v>
      </c>
      <c r="D32" s="15">
        <f>SUM('１月:１２月'!D32)</f>
        <v>4031.5115982414168</v>
      </c>
      <c r="E32" s="15">
        <f>SUM('１月:１２月'!E32)</f>
        <v>4267.7619999999997</v>
      </c>
      <c r="F32" s="15">
        <f>SUM('１月:１２月'!F32)</f>
        <v>8299.273598241416</v>
      </c>
      <c r="G32" s="15">
        <f>SUM('１月:１２月'!G32)</f>
        <v>61841.692000000003</v>
      </c>
      <c r="H32" s="15">
        <f>SUM('１月:１２月'!H32)</f>
        <v>1589513.5090000001</v>
      </c>
      <c r="I32" s="15">
        <f>SUM('１月:１２月'!I32)</f>
        <v>0</v>
      </c>
      <c r="J32" s="15">
        <f>SUM('１月:１２月'!J32)</f>
        <v>1589513.5090000001</v>
      </c>
      <c r="K32" s="15">
        <f>SUM('１月:１２月'!K32)</f>
        <v>173142.86199999999</v>
      </c>
      <c r="L32" s="15">
        <f>SUM('１月:１２月'!L32)</f>
        <v>94266.712000000014</v>
      </c>
      <c r="M32" s="15">
        <f>SUM('１月:１２月'!M32)</f>
        <v>1.62</v>
      </c>
      <c r="N32" s="15">
        <f>SUM('１月:１２月'!N32)</f>
        <v>1331.9110000000001</v>
      </c>
      <c r="O32" s="15">
        <f>SUM('１月:１２月'!O32)</f>
        <v>243.96400000000003</v>
      </c>
      <c r="P32" s="15">
        <f>SUM('１月:１２月'!P32)</f>
        <v>5864.5356400000001</v>
      </c>
      <c r="Q32" s="16">
        <f t="shared" si="0"/>
        <v>1934506.0792382415</v>
      </c>
      <c r="R32" s="44"/>
    </row>
    <row r="33" spans="1:18">
      <c r="A33" s="13" t="s">
        <v>0</v>
      </c>
      <c r="B33" s="292" t="s">
        <v>37</v>
      </c>
      <c r="C33" s="10" t="s">
        <v>11</v>
      </c>
      <c r="D33" s="11">
        <f>SUM('１月:１２月'!D33)</f>
        <v>1.5257000000000001</v>
      </c>
      <c r="E33" s="11">
        <f>SUM('１月:１２月'!E33)</f>
        <v>0.64319999999999999</v>
      </c>
      <c r="F33" s="11">
        <f>SUM('１月:１２月'!F33)</f>
        <v>2.1688999999999998</v>
      </c>
      <c r="G33" s="11">
        <f>SUM('１月:１２月'!G33)</f>
        <v>6.3064999999999989</v>
      </c>
      <c r="H33" s="11">
        <f>SUM('１月:１２月'!H33)</f>
        <v>3431.065399999999</v>
      </c>
      <c r="I33" s="11">
        <f>SUM('１月:１２月'!I33)</f>
        <v>0</v>
      </c>
      <c r="J33" s="11">
        <f>SUM('１月:１２月'!J33)</f>
        <v>3431.065399999999</v>
      </c>
      <c r="K33" s="11">
        <f>SUM('１月:１２月'!K33)</f>
        <v>878.99569999999994</v>
      </c>
      <c r="L33" s="11">
        <f>SUM('１月:１２月'!L33)</f>
        <v>14.480299999999998</v>
      </c>
      <c r="M33" s="11">
        <f>SUM('１月:１２月'!M33)</f>
        <v>0</v>
      </c>
      <c r="N33" s="11">
        <f>SUM('１月:１２月'!N33)</f>
        <v>1.4100000000000001E-2</v>
      </c>
      <c r="O33" s="11">
        <f>SUM('１月:１２月'!O33)</f>
        <v>0</v>
      </c>
      <c r="P33" s="11">
        <f>SUM('１月:１２月'!P33)</f>
        <v>0.1171</v>
      </c>
      <c r="Q33" s="12">
        <f t="shared" si="0"/>
        <v>4333.1479999999992</v>
      </c>
      <c r="R33" s="44"/>
    </row>
    <row r="34" spans="1:18">
      <c r="A34" s="13" t="s">
        <v>38</v>
      </c>
      <c r="B34" s="293"/>
      <c r="C34" s="14" t="s">
        <v>13</v>
      </c>
      <c r="D34" s="15">
        <f>SUM('１月:１２月'!D34)</f>
        <v>236.67145809669501</v>
      </c>
      <c r="E34" s="15">
        <f>SUM('１月:１２月'!E34)</f>
        <v>84.328000000000003</v>
      </c>
      <c r="F34" s="15">
        <f>SUM('１月:１２月'!F34)</f>
        <v>320.99945809669504</v>
      </c>
      <c r="G34" s="15">
        <f>SUM('１月:１２月'!G34)</f>
        <v>1229.806</v>
      </c>
      <c r="H34" s="15">
        <f>SUM('１月:１２月'!H34)</f>
        <v>259276.296</v>
      </c>
      <c r="I34" s="15">
        <f>SUM('１月:１２月'!I34)</f>
        <v>0</v>
      </c>
      <c r="J34" s="15">
        <f>SUM('１月:１２月'!J34)</f>
        <v>259276.296</v>
      </c>
      <c r="K34" s="15">
        <f>SUM('１月:１２月'!K34)</f>
        <v>63144.395000000011</v>
      </c>
      <c r="L34" s="15">
        <f>SUM('１月:１２月'!L34)</f>
        <v>1846.9059999999999</v>
      </c>
      <c r="M34" s="15">
        <f>SUM('１月:１２月'!M34)</f>
        <v>0</v>
      </c>
      <c r="N34" s="15">
        <f>SUM('１月:１２月'!N34)</f>
        <v>2.762</v>
      </c>
      <c r="O34" s="15">
        <f>SUM('１月:１２月'!O34)</f>
        <v>0</v>
      </c>
      <c r="P34" s="15">
        <f>SUM('１月:１２月'!P34)</f>
        <v>6.3234000000000004</v>
      </c>
      <c r="Q34" s="16">
        <f t="shared" si="0"/>
        <v>325827.48785809672</v>
      </c>
      <c r="R34" s="44"/>
    </row>
    <row r="35" spans="1:18">
      <c r="A35" s="13"/>
      <c r="B35" s="17" t="s">
        <v>15</v>
      </c>
      <c r="C35" s="10" t="s">
        <v>11</v>
      </c>
      <c r="D35" s="11">
        <f>SUM('１月:１２月'!D35)</f>
        <v>0</v>
      </c>
      <c r="E35" s="11">
        <f>SUM('１月:１２月'!E35)</f>
        <v>3.0000000000000001E-3</v>
      </c>
      <c r="F35" s="11">
        <f>SUM('１月:１２月'!F35)</f>
        <v>3.0000000000000001E-3</v>
      </c>
      <c r="G35" s="11">
        <f>SUM('１月:１２月'!G35)</f>
        <v>0</v>
      </c>
      <c r="H35" s="11">
        <f>SUM('１月:１２月'!H35)</f>
        <v>6235.6322000000009</v>
      </c>
      <c r="I35" s="11">
        <f>SUM('１月:１２月'!I35)</f>
        <v>0</v>
      </c>
      <c r="J35" s="11">
        <f>SUM('１月:１２月'!J35)</f>
        <v>6235.6322000000009</v>
      </c>
      <c r="K35" s="11">
        <f>SUM('１月:１２月'!K35)</f>
        <v>194.30600000000001</v>
      </c>
      <c r="L35" s="11">
        <f>SUM('１月:１２月'!L35)</f>
        <v>1.5300000000000001E-2</v>
      </c>
      <c r="M35" s="11">
        <f>SUM('１月:１２月'!M35)</f>
        <v>0</v>
      </c>
      <c r="N35" s="11">
        <f>SUM('１月:１２月'!N35)</f>
        <v>1.1400999999999999</v>
      </c>
      <c r="O35" s="11">
        <f>SUM('１月:１２月'!O35)</f>
        <v>0</v>
      </c>
      <c r="P35" s="11">
        <f>SUM('１月:１２月'!P35)</f>
        <v>0</v>
      </c>
      <c r="Q35" s="12">
        <f t="shared" si="0"/>
        <v>6431.0965999999999</v>
      </c>
      <c r="R35" s="44"/>
    </row>
    <row r="36" spans="1:18">
      <c r="A36" s="13" t="s">
        <v>18</v>
      </c>
      <c r="B36" s="14" t="s">
        <v>39</v>
      </c>
      <c r="C36" s="14" t="s">
        <v>13</v>
      </c>
      <c r="D36" s="15">
        <v>0</v>
      </c>
      <c r="E36" s="15">
        <f>SUM('１月:１２月'!E36)</f>
        <v>0.97199999999999998</v>
      </c>
      <c r="F36" s="15">
        <f>SUM('１月:１２月'!F36)</f>
        <v>0.97199999999999998</v>
      </c>
      <c r="G36" s="15">
        <f>SUM('１月:１２月'!G36)</f>
        <v>0</v>
      </c>
      <c r="H36" s="15">
        <f>SUM('１月:１２月'!H36)</f>
        <v>631957.82999999996</v>
      </c>
      <c r="I36" s="15">
        <f>SUM('１月:１２月'!I36)</f>
        <v>0</v>
      </c>
      <c r="J36" s="15">
        <f>SUM('１月:１２月'!J36)</f>
        <v>631957.82999999996</v>
      </c>
      <c r="K36" s="15">
        <f>SUM('１月:１２月'!K36)</f>
        <v>11716.961000000001</v>
      </c>
      <c r="L36" s="15">
        <f>SUM('１月:１２月'!L36)</f>
        <v>18.399000000000001</v>
      </c>
      <c r="M36" s="15">
        <f>SUM('１月:１２月'!M36)</f>
        <v>0</v>
      </c>
      <c r="N36" s="15">
        <f>SUM('１月:１２月'!N36)</f>
        <v>207.44</v>
      </c>
      <c r="O36" s="15">
        <f>SUM('１月:１２月'!O36)</f>
        <v>0</v>
      </c>
      <c r="P36" s="15">
        <f>SUM('１月:１２月'!P36)</f>
        <v>0</v>
      </c>
      <c r="Q36" s="16">
        <f t="shared" si="0"/>
        <v>643901.60199999984</v>
      </c>
      <c r="R36" s="44"/>
    </row>
    <row r="37" spans="1:18">
      <c r="A37" s="19"/>
      <c r="B37" s="295" t="s">
        <v>19</v>
      </c>
      <c r="C37" s="10" t="s">
        <v>11</v>
      </c>
      <c r="D37" s="11">
        <f>+D31+D33+D35</f>
        <v>24.9132</v>
      </c>
      <c r="E37" s="11">
        <f>+E31+E33+E35</f>
        <v>32.957100000000004</v>
      </c>
      <c r="F37" s="11">
        <f t="shared" ref="F37:O38" si="10">+F31+F33+F35</f>
        <v>57.8703</v>
      </c>
      <c r="G37" s="11">
        <f t="shared" si="10"/>
        <v>510.51189999999986</v>
      </c>
      <c r="H37" s="11">
        <f t="shared" si="10"/>
        <v>16812.654500000001</v>
      </c>
      <c r="I37" s="11">
        <f t="shared" si="10"/>
        <v>0</v>
      </c>
      <c r="J37" s="11">
        <f t="shared" si="10"/>
        <v>16812.654500000001</v>
      </c>
      <c r="K37" s="11">
        <f t="shared" si="10"/>
        <v>2308.1677999999997</v>
      </c>
      <c r="L37" s="11">
        <f t="shared" si="10"/>
        <v>484.16140000000007</v>
      </c>
      <c r="M37" s="11">
        <f t="shared" si="10"/>
        <v>5.0000000000000001E-3</v>
      </c>
      <c r="N37" s="11">
        <f t="shared" si="10"/>
        <v>15.279</v>
      </c>
      <c r="O37" s="11">
        <f t="shared" si="10"/>
        <v>1.6222000000000001</v>
      </c>
      <c r="P37" s="11">
        <f t="shared" ref="P37" si="11">+P31+P33+P35</f>
        <v>40.047879999999999</v>
      </c>
      <c r="Q37" s="12">
        <f t="shared" si="0"/>
        <v>20230.31998</v>
      </c>
      <c r="R37" s="44"/>
    </row>
    <row r="38" spans="1:18">
      <c r="A38" s="18"/>
      <c r="B38" s="296"/>
      <c r="C38" s="14" t="s">
        <v>13</v>
      </c>
      <c r="D38" s="15">
        <f>+D32+D34+D36</f>
        <v>4268.1830563381118</v>
      </c>
      <c r="E38" s="15">
        <f>+E32+E34+E36</f>
        <v>4353.0619999999999</v>
      </c>
      <c r="F38" s="15">
        <f t="shared" si="10"/>
        <v>8621.2450563381117</v>
      </c>
      <c r="G38" s="15">
        <f t="shared" si="10"/>
        <v>63071.498</v>
      </c>
      <c r="H38" s="15">
        <f t="shared" si="10"/>
        <v>2480747.6350000002</v>
      </c>
      <c r="I38" s="15">
        <f t="shared" si="10"/>
        <v>0</v>
      </c>
      <c r="J38" s="15">
        <f t="shared" si="10"/>
        <v>2480747.6350000002</v>
      </c>
      <c r="K38" s="15">
        <f t="shared" si="10"/>
        <v>248004.21800000002</v>
      </c>
      <c r="L38" s="15">
        <f t="shared" si="10"/>
        <v>96132.017000000022</v>
      </c>
      <c r="M38" s="15">
        <f t="shared" si="10"/>
        <v>1.62</v>
      </c>
      <c r="N38" s="15">
        <f t="shared" si="10"/>
        <v>1542.1130000000001</v>
      </c>
      <c r="O38" s="15">
        <f t="shared" si="10"/>
        <v>243.96400000000003</v>
      </c>
      <c r="P38" s="15">
        <f t="shared" ref="P38" si="12">+P32+P34+P36</f>
        <v>5870.8590400000003</v>
      </c>
      <c r="Q38" s="16">
        <f t="shared" si="0"/>
        <v>2904235.1690963386</v>
      </c>
      <c r="R38" s="44"/>
    </row>
    <row r="39" spans="1:18">
      <c r="A39" s="297" t="s">
        <v>40</v>
      </c>
      <c r="B39" s="298"/>
      <c r="C39" s="10" t="s">
        <v>11</v>
      </c>
      <c r="D39" s="11">
        <f>SUM('１月:１２月'!D39)</f>
        <v>1.2066999999999999</v>
      </c>
      <c r="E39" s="11">
        <f>SUM('１月:１２月'!E39)</f>
        <v>3.3565000000000005</v>
      </c>
      <c r="F39" s="11">
        <f>SUM('１月:１２月'!F39)</f>
        <v>4.5632000000000001</v>
      </c>
      <c r="G39" s="11">
        <f>SUM('１月:１２月'!G39)</f>
        <v>7.9742999999999995</v>
      </c>
      <c r="H39" s="11">
        <f>SUM('１月:１２月'!H39)</f>
        <v>650.82760000000007</v>
      </c>
      <c r="I39" s="11">
        <f>SUM('１月:１２月'!I39)</f>
        <v>0</v>
      </c>
      <c r="J39" s="11">
        <f>SUM('１月:１２月'!J39)</f>
        <v>650.82760000000007</v>
      </c>
      <c r="K39" s="11">
        <f>SUM('１月:１２月'!K39)</f>
        <v>532.30499999999995</v>
      </c>
      <c r="L39" s="11">
        <f>SUM('１月:１２月'!L39)</f>
        <v>1.9798999999999998</v>
      </c>
      <c r="M39" s="11">
        <f>SUM('１月:１２月'!M39)</f>
        <v>0</v>
      </c>
      <c r="N39" s="11">
        <f>SUM('１月:１２月'!N39)</f>
        <v>1.2067999999999999</v>
      </c>
      <c r="O39" s="11">
        <f>SUM('１月:１２月'!O39)</f>
        <v>1.8E-3</v>
      </c>
      <c r="P39" s="11">
        <f>SUM('１月:１２月'!P39)</f>
        <v>3.8025000000000002</v>
      </c>
      <c r="Q39" s="12">
        <f t="shared" si="0"/>
        <v>1202.6611</v>
      </c>
      <c r="R39" s="44"/>
    </row>
    <row r="40" spans="1:18">
      <c r="A40" s="299"/>
      <c r="B40" s="300"/>
      <c r="C40" s="14" t="s">
        <v>13</v>
      </c>
      <c r="D40" s="15">
        <f>SUM('１月:１２月'!D40)</f>
        <v>1323.9013056847198</v>
      </c>
      <c r="E40" s="15">
        <f>SUM('１月:１２月'!E40)</f>
        <v>1511.2360000000001</v>
      </c>
      <c r="F40" s="15">
        <f>SUM('１月:１２月'!F40)</f>
        <v>2835.1373056847201</v>
      </c>
      <c r="G40" s="15">
        <f>SUM('１月:１２月'!G40)</f>
        <v>1857.4870000000001</v>
      </c>
      <c r="H40" s="15">
        <f>SUM('１月:１２月'!H40)</f>
        <v>261393.97899999999</v>
      </c>
      <c r="I40" s="15">
        <f>SUM('１月:１２月'!I40)</f>
        <v>0</v>
      </c>
      <c r="J40" s="15">
        <f>SUM('１月:１２月'!J40)</f>
        <v>261393.97899999999</v>
      </c>
      <c r="K40" s="15">
        <f>SUM('１月:１２月'!K40)</f>
        <v>204569.81700000004</v>
      </c>
      <c r="L40" s="15">
        <f>SUM('１月:１２月'!L40)</f>
        <v>489.928</v>
      </c>
      <c r="M40" s="15">
        <f>SUM('１月:１２月'!M40)</f>
        <v>0</v>
      </c>
      <c r="N40" s="15">
        <f>SUM('１月:１２月'!N40)</f>
        <v>363.67499999999995</v>
      </c>
      <c r="O40" s="15">
        <f>SUM('１月:１２月'!O40)</f>
        <v>9.7000000000000003E-2</v>
      </c>
      <c r="P40" s="15">
        <f>SUM('１月:１２月'!P40)</f>
        <v>1159.8998000000001</v>
      </c>
      <c r="Q40" s="16">
        <f t="shared" si="0"/>
        <v>472670.02010568476</v>
      </c>
      <c r="R40" s="44"/>
    </row>
    <row r="41" spans="1:18">
      <c r="A41" s="297" t="s">
        <v>41</v>
      </c>
      <c r="B41" s="298"/>
      <c r="C41" s="10" t="s">
        <v>11</v>
      </c>
      <c r="D41" s="11">
        <f>SUM('１月:１２月'!D41)</f>
        <v>15.980999999999998</v>
      </c>
      <c r="E41" s="11">
        <f>SUM('１月:１２月'!E41)</f>
        <v>2.3687000000000005</v>
      </c>
      <c r="F41" s="11">
        <f>SUM('１月:１２月'!F41)</f>
        <v>18.349700000000002</v>
      </c>
      <c r="G41" s="11">
        <f>SUM('１月:１２月'!G41)</f>
        <v>782.57230000000004</v>
      </c>
      <c r="H41" s="11">
        <f>SUM('１月:１２月'!H41)</f>
        <v>1306.0665999999999</v>
      </c>
      <c r="I41" s="11">
        <f>SUM('１月:１２月'!I41)</f>
        <v>0</v>
      </c>
      <c r="J41" s="11">
        <f>SUM('１月:１２月'!J41)</f>
        <v>1306.0665999999999</v>
      </c>
      <c r="K41" s="11">
        <f>SUM('１月:１２月'!K41)</f>
        <v>784.39340000000004</v>
      </c>
      <c r="L41" s="11">
        <f>SUM('１月:１２月'!L41)</f>
        <v>124.29480000000001</v>
      </c>
      <c r="M41" s="11">
        <f>SUM('１月:１２月'!M41)</f>
        <v>0</v>
      </c>
      <c r="N41" s="11">
        <f>SUM('１月:１２月'!N41)</f>
        <v>15.9781</v>
      </c>
      <c r="O41" s="11">
        <f>SUM('１月:１２月'!O41)</f>
        <v>0.13049999999999998</v>
      </c>
      <c r="P41" s="11">
        <f>SUM('１月:１２月'!P41)</f>
        <v>3.1660000000000004</v>
      </c>
      <c r="Q41" s="12">
        <f t="shared" si="0"/>
        <v>3034.9513999999999</v>
      </c>
      <c r="R41" s="44"/>
    </row>
    <row r="42" spans="1:18">
      <c r="A42" s="299"/>
      <c r="B42" s="300"/>
      <c r="C42" s="14" t="s">
        <v>13</v>
      </c>
      <c r="D42" s="15">
        <f>SUM('１月:１２月'!D42)</f>
        <v>14344.519593561879</v>
      </c>
      <c r="E42" s="15">
        <f>SUM('１月:１２月'!E42)</f>
        <v>723.96400000000006</v>
      </c>
      <c r="F42" s="15">
        <f>SUM('１月:１２月'!F42)</f>
        <v>15068.483593561881</v>
      </c>
      <c r="G42" s="15">
        <f>SUM('１月:１２月'!G42)</f>
        <v>127435.59900000002</v>
      </c>
      <c r="H42" s="15">
        <f>SUM('１月:１２月'!H42)</f>
        <v>286093.53499999997</v>
      </c>
      <c r="I42" s="15">
        <f>SUM('１月:１２月'!I42)</f>
        <v>0</v>
      </c>
      <c r="J42" s="15">
        <f>SUM('１月:１２月'!J42)</f>
        <v>286093.53499999997</v>
      </c>
      <c r="K42" s="15">
        <f>SUM('１月:１２月'!K42)</f>
        <v>143816.035</v>
      </c>
      <c r="L42" s="15">
        <f>SUM('１月:１２月'!L42)</f>
        <v>8907.0779999999995</v>
      </c>
      <c r="M42" s="15">
        <f>SUM('１月:１２月'!M42)</f>
        <v>0</v>
      </c>
      <c r="N42" s="15">
        <f>SUM('１月:１２月'!N42)</f>
        <v>2015.5709999999997</v>
      </c>
      <c r="O42" s="15">
        <f>SUM('１月:１２月'!O42)</f>
        <v>15.641000000000002</v>
      </c>
      <c r="P42" s="15">
        <f>SUM('１月:１２月'!P42)</f>
        <v>189.12804000000003</v>
      </c>
      <c r="Q42" s="16">
        <f t="shared" si="0"/>
        <v>583541.07063356182</v>
      </c>
      <c r="R42" s="44"/>
    </row>
    <row r="43" spans="1:18">
      <c r="A43" s="297" t="s">
        <v>42</v>
      </c>
      <c r="B43" s="298"/>
      <c r="C43" s="10" t="s">
        <v>11</v>
      </c>
      <c r="D43" s="11">
        <f>SUM('１月:１２月'!D43)</f>
        <v>0</v>
      </c>
      <c r="E43" s="11">
        <f>SUM('１月:１２月'!E43)</f>
        <v>0</v>
      </c>
      <c r="F43" s="11">
        <f>SUM('１月:１２月'!F43)</f>
        <v>0</v>
      </c>
      <c r="G43" s="11">
        <f>SUM('１月:１２月'!G43)</f>
        <v>0</v>
      </c>
      <c r="H43" s="11">
        <f>SUM('１月:１２月'!H43)</f>
        <v>4.4000000000000003E-3</v>
      </c>
      <c r="I43" s="11">
        <f>SUM('１月:１２月'!I43)</f>
        <v>0</v>
      </c>
      <c r="J43" s="11">
        <f>SUM('１月:１２月'!J43)</f>
        <v>4.4000000000000003E-3</v>
      </c>
      <c r="K43" s="11">
        <f>SUM('１月:１２月'!K43)</f>
        <v>0</v>
      </c>
      <c r="L43" s="11">
        <f>SUM('１月:１２月'!L43)</f>
        <v>5.0000000000000001E-3</v>
      </c>
      <c r="M43" s="11">
        <f>SUM('１月:１２月'!M43)</f>
        <v>0</v>
      </c>
      <c r="N43" s="11">
        <f>SUM('１月:１２月'!N43)</f>
        <v>0</v>
      </c>
      <c r="O43" s="11">
        <f>SUM('１月:１２月'!O43)</f>
        <v>0</v>
      </c>
      <c r="P43" s="11">
        <f>SUM('１月:１２月'!P43)</f>
        <v>0</v>
      </c>
      <c r="Q43" s="12">
        <f t="shared" si="0"/>
        <v>9.4000000000000004E-3</v>
      </c>
      <c r="R43" s="44"/>
    </row>
    <row r="44" spans="1:18">
      <c r="A44" s="299"/>
      <c r="B44" s="300"/>
      <c r="C44" s="14" t="s">
        <v>13</v>
      </c>
      <c r="D44" s="15">
        <v>0</v>
      </c>
      <c r="E44" s="15">
        <f>SUM('１月:１２月'!E44)</f>
        <v>0</v>
      </c>
      <c r="F44" s="15">
        <f>SUM('１月:１２月'!F44)</f>
        <v>0</v>
      </c>
      <c r="G44" s="15">
        <f>SUM('１月:１２月'!G44)</f>
        <v>0</v>
      </c>
      <c r="H44" s="15">
        <f>SUM('１月:１２月'!H44)</f>
        <v>9.5039999999999996</v>
      </c>
      <c r="I44" s="15">
        <f>SUM('１月:１２月'!I44)</f>
        <v>0</v>
      </c>
      <c r="J44" s="15">
        <f>SUM('１月:１２月'!J44)</f>
        <v>9.5039999999999996</v>
      </c>
      <c r="K44" s="15">
        <f>SUM('１月:１２月'!K44)</f>
        <v>0</v>
      </c>
      <c r="L44" s="15">
        <f>SUM('１月:１２月'!L44)</f>
        <v>0.97199999999999998</v>
      </c>
      <c r="M44" s="15">
        <f>SUM('１月:１２月'!M44)</f>
        <v>0</v>
      </c>
      <c r="N44" s="15">
        <f>SUM('１月:１２月'!N44)</f>
        <v>0</v>
      </c>
      <c r="O44" s="15">
        <f>SUM('１月:１２月'!O44)</f>
        <v>0</v>
      </c>
      <c r="P44" s="15">
        <f>SUM('１月:１２月'!P44)</f>
        <v>0</v>
      </c>
      <c r="Q44" s="16">
        <f t="shared" si="0"/>
        <v>10.475999999999999</v>
      </c>
      <c r="R44" s="44"/>
    </row>
    <row r="45" spans="1:18">
      <c r="A45" s="297" t="s">
        <v>43</v>
      </c>
      <c r="B45" s="298"/>
      <c r="C45" s="10" t="s">
        <v>11</v>
      </c>
      <c r="D45" s="11">
        <f>SUM('１月:１２月'!D45)</f>
        <v>2E-3</v>
      </c>
      <c r="E45" s="11">
        <f>SUM('１月:１２月'!E45)</f>
        <v>4.8000000000000004E-3</v>
      </c>
      <c r="F45" s="11">
        <f>SUM('１月:１２月'!F45)</f>
        <v>6.7999999999999996E-3</v>
      </c>
      <c r="G45" s="11">
        <f>SUM('１月:１２月'!G45)</f>
        <v>7.5200000000000003E-2</v>
      </c>
      <c r="H45" s="11">
        <f>SUM('１月:１２月'!H45)</f>
        <v>0.22320000000000004</v>
      </c>
      <c r="I45" s="11">
        <f>SUM('１月:１２月'!I45)</f>
        <v>0</v>
      </c>
      <c r="J45" s="11">
        <f>SUM('１月:１２月'!J45)</f>
        <v>0.22320000000000004</v>
      </c>
      <c r="K45" s="11">
        <f>SUM('１月:１２月'!K45)</f>
        <v>1.0300000000000002E-2</v>
      </c>
      <c r="L45" s="11">
        <f>SUM('１月:１２月'!L45)</f>
        <v>6.8999999999999999E-3</v>
      </c>
      <c r="M45" s="11">
        <f>SUM('１月:１２月'!M45)</f>
        <v>0</v>
      </c>
      <c r="N45" s="11">
        <f>SUM('１月:１２月'!N45)</f>
        <v>0</v>
      </c>
      <c r="O45" s="11">
        <f>SUM('１月:１２月'!O45)</f>
        <v>0</v>
      </c>
      <c r="P45" s="11">
        <f>SUM('１月:１２月'!P45)</f>
        <v>0</v>
      </c>
      <c r="Q45" s="12">
        <f t="shared" si="0"/>
        <v>0.32240000000000002</v>
      </c>
      <c r="R45" s="44"/>
    </row>
    <row r="46" spans="1:18">
      <c r="A46" s="299"/>
      <c r="B46" s="300"/>
      <c r="C46" s="14" t="s">
        <v>13</v>
      </c>
      <c r="D46" s="15">
        <v>0</v>
      </c>
      <c r="E46" s="15">
        <f>SUM('１月:１２月'!E46)</f>
        <v>2.8530000000000002</v>
      </c>
      <c r="F46" s="15">
        <f>SUM('１月:１２月'!F46)</f>
        <v>4.7969999670036572</v>
      </c>
      <c r="G46" s="15">
        <f>SUM('１月:１２月'!G46)</f>
        <v>121.816</v>
      </c>
      <c r="H46" s="15">
        <f>SUM('１月:１２月'!H46)</f>
        <v>149.57400000000001</v>
      </c>
      <c r="I46" s="15">
        <f>SUM('１月:１２月'!I46)</f>
        <v>0</v>
      </c>
      <c r="J46" s="15">
        <f>SUM('１月:１２月'!J46)</f>
        <v>149.57400000000001</v>
      </c>
      <c r="K46" s="15">
        <f>SUM('１月:１２月'!K46)</f>
        <v>6.9859999999999998</v>
      </c>
      <c r="L46" s="15">
        <f>SUM('１月:１２月'!L46)</f>
        <v>21.805</v>
      </c>
      <c r="M46" s="15">
        <f>SUM('１月:１２月'!M46)</f>
        <v>0</v>
      </c>
      <c r="N46" s="15">
        <f>SUM('１月:１２月'!N46)</f>
        <v>0</v>
      </c>
      <c r="O46" s="15">
        <f>SUM('１月:１２月'!O46)</f>
        <v>0</v>
      </c>
      <c r="P46" s="15">
        <f>SUM('１月:１２月'!P46)</f>
        <v>0</v>
      </c>
      <c r="Q46" s="16">
        <f t="shared" si="0"/>
        <v>304.97799996700365</v>
      </c>
      <c r="R46" s="44"/>
    </row>
    <row r="47" spans="1:18">
      <c r="A47" s="297" t="s">
        <v>44</v>
      </c>
      <c r="B47" s="298"/>
      <c r="C47" s="10" t="s">
        <v>11</v>
      </c>
      <c r="D47" s="11">
        <f>SUM('１月:１２月'!D47)</f>
        <v>0.15100000000000002</v>
      </c>
      <c r="E47" s="11">
        <f>SUM('１月:１２月'!E47)</f>
        <v>3.4700000000000002E-2</v>
      </c>
      <c r="F47" s="11">
        <f>SUM('１月:１２月'!F47)</f>
        <v>0.18570000000000003</v>
      </c>
      <c r="G47" s="11">
        <f>SUM('１月:１２月'!G47)</f>
        <v>0.30320000000000003</v>
      </c>
      <c r="H47" s="11">
        <f>SUM('１月:１２月'!H47)</f>
        <v>0.41900000000000004</v>
      </c>
      <c r="I47" s="11">
        <f>SUM('１月:１２月'!I47)</f>
        <v>0</v>
      </c>
      <c r="J47" s="11">
        <f>SUM('１月:１２月'!J47)</f>
        <v>0.41900000000000004</v>
      </c>
      <c r="K47" s="11">
        <f>SUM('１月:１２月'!K47)</f>
        <v>5.2000000000000005E-2</v>
      </c>
      <c r="L47" s="11">
        <f>SUM('１月:１２月'!L47)</f>
        <v>7.22E-2</v>
      </c>
      <c r="M47" s="11">
        <f>SUM('１月:１２月'!M47)</f>
        <v>0</v>
      </c>
      <c r="N47" s="11">
        <f>SUM('１月:１２月'!N47)</f>
        <v>0</v>
      </c>
      <c r="O47" s="11">
        <f>SUM('１月:１２月'!O47)</f>
        <v>0</v>
      </c>
      <c r="P47" s="11">
        <f>SUM('１月:１２月'!P47)</f>
        <v>0</v>
      </c>
      <c r="Q47" s="12">
        <f t="shared" si="0"/>
        <v>1.0321000000000002</v>
      </c>
      <c r="R47" s="44"/>
    </row>
    <row r="48" spans="1:18">
      <c r="A48" s="299"/>
      <c r="B48" s="300"/>
      <c r="C48" s="14" t="s">
        <v>13</v>
      </c>
      <c r="D48" s="15">
        <f>SUM('１月:１２月'!D48)</f>
        <v>84.288024649696254</v>
      </c>
      <c r="E48" s="15">
        <f>SUM('１月:１２月'!E48)</f>
        <v>22.218999999999998</v>
      </c>
      <c r="F48" s="15">
        <f>SUM('１月:１２月'!F48)</f>
        <v>106.50702464969628</v>
      </c>
      <c r="G48" s="15">
        <f>SUM('１月:１２月'!G48)</f>
        <v>262.65699999999998</v>
      </c>
      <c r="H48" s="15">
        <f>SUM('１月:１２月'!H48)</f>
        <v>329.27100000000002</v>
      </c>
      <c r="I48" s="15">
        <f>SUM('１月:１２月'!I48)</f>
        <v>0</v>
      </c>
      <c r="J48" s="15">
        <f>SUM('１月:１２月'!J48)</f>
        <v>329.27100000000002</v>
      </c>
      <c r="K48" s="15">
        <f>SUM('１月:１２月'!K48)</f>
        <v>53.248999999999995</v>
      </c>
      <c r="L48" s="15">
        <f>SUM('１月:１２月'!L48)</f>
        <v>37.564</v>
      </c>
      <c r="M48" s="15">
        <f>SUM('１月:１２月'!M48)</f>
        <v>0</v>
      </c>
      <c r="N48" s="15">
        <f>SUM('１月:１２月'!N48)</f>
        <v>0</v>
      </c>
      <c r="O48" s="15">
        <f>SUM('１月:１２月'!O48)</f>
        <v>0</v>
      </c>
      <c r="P48" s="15">
        <f>SUM('１月:１２月'!P48)</f>
        <v>0</v>
      </c>
      <c r="Q48" s="16">
        <f t="shared" si="0"/>
        <v>789.24802464969628</v>
      </c>
      <c r="R48" s="44"/>
    </row>
    <row r="49" spans="1:18">
      <c r="A49" s="297" t="s">
        <v>45</v>
      </c>
      <c r="B49" s="298"/>
      <c r="C49" s="10" t="s">
        <v>11</v>
      </c>
      <c r="D49" s="11">
        <f>SUM('１月:１２月'!D49)</f>
        <v>449.06710000000004</v>
      </c>
      <c r="E49" s="11">
        <f>SUM('１月:１２月'!E49)</f>
        <v>750.2890000000001</v>
      </c>
      <c r="F49" s="11">
        <f>SUM('１月:１２月'!F49)</f>
        <v>1199.3561000000002</v>
      </c>
      <c r="G49" s="11">
        <f>SUM('１月:１２月'!G49)</f>
        <v>6545.4476999999997</v>
      </c>
      <c r="H49" s="11">
        <f>SUM('１月:１２月'!H49)</f>
        <v>35732.363800000006</v>
      </c>
      <c r="I49" s="11">
        <f>SUM('１月:１２月'!I49)</f>
        <v>0</v>
      </c>
      <c r="J49" s="11">
        <f>SUM('１月:１２月'!J49)</f>
        <v>35732.363800000006</v>
      </c>
      <c r="K49" s="11">
        <f>SUM('１月:１２月'!K49)</f>
        <v>3186.4058</v>
      </c>
      <c r="L49" s="11">
        <f>SUM('１月:１２月'!L49)</f>
        <v>75.291799999999995</v>
      </c>
      <c r="M49" s="11">
        <f>SUM('１月:１２月'!M49)</f>
        <v>0</v>
      </c>
      <c r="N49" s="11">
        <f>SUM('１月:１２月'!N49)</f>
        <v>5.2083999999999993</v>
      </c>
      <c r="O49" s="11">
        <f>SUM('１月:１２月'!O49)</f>
        <v>0</v>
      </c>
      <c r="P49" s="11">
        <f>SUM('１月:１２月'!P49)</f>
        <v>32.678339999999999</v>
      </c>
      <c r="Q49" s="12">
        <f t="shared" si="0"/>
        <v>46776.751940000009</v>
      </c>
      <c r="R49" s="44"/>
    </row>
    <row r="50" spans="1:18">
      <c r="A50" s="299"/>
      <c r="B50" s="300"/>
      <c r="C50" s="14" t="s">
        <v>13</v>
      </c>
      <c r="D50" s="15">
        <f>SUM('１月:１２月'!D50)</f>
        <v>33721.975050013556</v>
      </c>
      <c r="E50" s="15">
        <f>SUM('１月:１２月'!E50)</f>
        <v>57844.302000000003</v>
      </c>
      <c r="F50" s="15">
        <f>SUM('１月:１２月'!F50)</f>
        <v>91566.277050013552</v>
      </c>
      <c r="G50" s="15">
        <f>SUM('１月:１２月'!G50)</f>
        <v>654142.40999999992</v>
      </c>
      <c r="H50" s="15">
        <f>SUM('１月:１２月'!H50)</f>
        <v>3221246.1660000002</v>
      </c>
      <c r="I50" s="15">
        <f>SUM('１月:１２月'!I50)</f>
        <v>0</v>
      </c>
      <c r="J50" s="15">
        <f>SUM('１月:１２月'!J50)</f>
        <v>3221246.1660000002</v>
      </c>
      <c r="K50" s="15">
        <f>SUM('１月:１２月'!K50)</f>
        <v>297702.12100000004</v>
      </c>
      <c r="L50" s="15">
        <f>SUM('１月:１２月'!L50)</f>
        <v>9737.7739999999994</v>
      </c>
      <c r="M50" s="15">
        <f>SUM('１月:１２月'!M50)</f>
        <v>0</v>
      </c>
      <c r="N50" s="15">
        <f>SUM('１月:１２月'!N50)</f>
        <v>129.92099999999999</v>
      </c>
      <c r="O50" s="15">
        <f>SUM('１月:１２月'!O50)</f>
        <v>0</v>
      </c>
      <c r="P50" s="15">
        <f>SUM('１月:１２月'!P50)</f>
        <v>20185.160159999999</v>
      </c>
      <c r="Q50" s="16">
        <f t="shared" si="0"/>
        <v>4294709.8292100141</v>
      </c>
      <c r="R50" s="44"/>
    </row>
    <row r="51" spans="1:18">
      <c r="A51" s="297" t="s">
        <v>46</v>
      </c>
      <c r="B51" s="298"/>
      <c r="C51" s="10" t="s">
        <v>11</v>
      </c>
      <c r="D51" s="11">
        <f>SUM('１月:１２月'!D51)</f>
        <v>20.898999999999997</v>
      </c>
      <c r="E51" s="11">
        <f>SUM('１月:１２月'!E51)</f>
        <v>32.521999999999998</v>
      </c>
      <c r="F51" s="11">
        <f>SUM('１月:１２月'!F51)</f>
        <v>53.421000000000006</v>
      </c>
      <c r="G51" s="11">
        <f>SUM('１月:１２月'!G51)</f>
        <v>27220.841900000003</v>
      </c>
      <c r="H51" s="11">
        <f>SUM('１月:１２月'!H51)</f>
        <v>30.696000000000002</v>
      </c>
      <c r="I51" s="11">
        <f>SUM('１月:１２月'!I51)</f>
        <v>0</v>
      </c>
      <c r="J51" s="11">
        <f>SUM('１月:１２月'!J51)</f>
        <v>30.696000000000002</v>
      </c>
      <c r="K51" s="11">
        <f>SUM('１月:１２月'!K51)</f>
        <v>26064.9503</v>
      </c>
      <c r="L51" s="11">
        <f>SUM('１月:１２月'!L51)</f>
        <v>1.1935</v>
      </c>
      <c r="M51" s="11">
        <f>SUM('１月:１２月'!M51)</f>
        <v>0</v>
      </c>
      <c r="N51" s="11">
        <f>SUM('１月:１２月'!N51)</f>
        <v>0</v>
      </c>
      <c r="O51" s="11">
        <f>SUM('１月:１２月'!O51)</f>
        <v>0</v>
      </c>
      <c r="P51" s="11">
        <f>SUM('１月:１２月'!P51)</f>
        <v>0</v>
      </c>
      <c r="Q51" s="12">
        <f t="shared" si="0"/>
        <v>53371.102700000003</v>
      </c>
      <c r="R51" s="44"/>
    </row>
    <row r="52" spans="1:18">
      <c r="A52" s="299"/>
      <c r="B52" s="300"/>
      <c r="C52" s="14" t="s">
        <v>13</v>
      </c>
      <c r="D52" s="15">
        <f>SUM('１月:１２月'!D52)</f>
        <v>12740.673410950798</v>
      </c>
      <c r="E52" s="15">
        <f>SUM('１月:１２月'!E52)</f>
        <v>16432.253000000001</v>
      </c>
      <c r="F52" s="15">
        <f>SUM('１月:１２月'!F52)</f>
        <v>29172.9264109508</v>
      </c>
      <c r="G52" s="15">
        <f>SUM('１月:１２月'!G52)</f>
        <v>2659675.7600000002</v>
      </c>
      <c r="H52" s="15">
        <f>SUM('１月:１２月'!H52)</f>
        <v>13778.56</v>
      </c>
      <c r="I52" s="15">
        <f>SUM('１月:１２月'!I52)</f>
        <v>0</v>
      </c>
      <c r="J52" s="15">
        <f>SUM('１月:１２月'!J52)</f>
        <v>13778.56</v>
      </c>
      <c r="K52" s="15">
        <f>SUM('１月:１２月'!K52)</f>
        <v>2562590.2710000002</v>
      </c>
      <c r="L52" s="15">
        <f>SUM('１月:１２月'!L52)</f>
        <v>467.101</v>
      </c>
      <c r="M52" s="15">
        <f>SUM('１月:１２月'!M52)</f>
        <v>0</v>
      </c>
      <c r="N52" s="15">
        <f>SUM('１月:１２月'!N52)</f>
        <v>0</v>
      </c>
      <c r="O52" s="15">
        <f>SUM('１月:１２月'!O52)</f>
        <v>0</v>
      </c>
      <c r="P52" s="15">
        <f>SUM('１月:１２月'!P52)</f>
        <v>0</v>
      </c>
      <c r="Q52" s="16">
        <f t="shared" si="0"/>
        <v>5265684.6184109505</v>
      </c>
      <c r="R52" s="44"/>
    </row>
    <row r="53" spans="1:18">
      <c r="A53" s="297" t="s">
        <v>47</v>
      </c>
      <c r="B53" s="298"/>
      <c r="C53" s="10" t="s">
        <v>11</v>
      </c>
      <c r="D53" s="11">
        <f>SUM('１月:１２月'!D53)</f>
        <v>0.87429999999999997</v>
      </c>
      <c r="E53" s="11">
        <f>SUM('１月:１２月'!E53)</f>
        <v>9.120099999999999</v>
      </c>
      <c r="F53" s="11">
        <f>SUM('１月:１２月'!F53)</f>
        <v>9.9943999999999988</v>
      </c>
      <c r="G53" s="11">
        <f>SUM('１月:１２月'!G53)</f>
        <v>1215.5617</v>
      </c>
      <c r="H53" s="11">
        <f>SUM('１月:１２月'!H53)</f>
        <v>2133.3504000000003</v>
      </c>
      <c r="I53" s="11">
        <f>SUM('１月:１２月'!I53)</f>
        <v>0</v>
      </c>
      <c r="J53" s="11">
        <f>SUM('１月:１２月'!J53)</f>
        <v>2133.3504000000003</v>
      </c>
      <c r="K53" s="11">
        <f>SUM('１月:１２月'!K53)</f>
        <v>6017.6237999999994</v>
      </c>
      <c r="L53" s="11">
        <f>SUM('１月:１２月'!L53)</f>
        <v>2799.1448999999998</v>
      </c>
      <c r="M53" s="11">
        <f>SUM('１月:１２月'!M53)</f>
        <v>0</v>
      </c>
      <c r="N53" s="11">
        <f>SUM('１月:１２月'!N53)</f>
        <v>218.2166</v>
      </c>
      <c r="O53" s="11">
        <f>SUM('１月:１２月'!O53)</f>
        <v>0.43269999999999997</v>
      </c>
      <c r="P53" s="11">
        <f>SUM('１月:１２月'!P53)</f>
        <v>0.1076</v>
      </c>
      <c r="Q53" s="12">
        <f t="shared" si="0"/>
        <v>12394.432099999996</v>
      </c>
      <c r="R53" s="44"/>
    </row>
    <row r="54" spans="1:18">
      <c r="A54" s="299"/>
      <c r="B54" s="300"/>
      <c r="C54" s="14" t="s">
        <v>13</v>
      </c>
      <c r="D54" s="15">
        <f>SUM('１月:１２月'!D54)</f>
        <v>826.73630759557886</v>
      </c>
      <c r="E54" s="15">
        <f>SUM('１月:１２月'!E54)</f>
        <v>4041.37</v>
      </c>
      <c r="F54" s="15">
        <f>SUM('１月:１２月'!F54)</f>
        <v>4868.106307595579</v>
      </c>
      <c r="G54" s="15">
        <f>SUM('１月:１２月'!G54)</f>
        <v>527908.86199999996</v>
      </c>
      <c r="H54" s="15">
        <f>SUM('１月:１２月'!H54)</f>
        <v>988871.90499999991</v>
      </c>
      <c r="I54" s="15">
        <f>SUM('１月:１２月'!I54)</f>
        <v>0</v>
      </c>
      <c r="J54" s="15">
        <f>SUM('１月:１２月'!J54)</f>
        <v>988871.90499999991</v>
      </c>
      <c r="K54" s="15">
        <f>SUM('１月:１２月'!K54)</f>
        <v>3431846.9270000001</v>
      </c>
      <c r="L54" s="15">
        <f>SUM('１月:１２月'!L54)</f>
        <v>1394756.632</v>
      </c>
      <c r="M54" s="15">
        <f>SUM('１月:１２月'!M54)</f>
        <v>0</v>
      </c>
      <c r="N54" s="15">
        <f>SUM('１月:１２月'!N54)</f>
        <v>95139.806999999986</v>
      </c>
      <c r="O54" s="15">
        <f>SUM('１月:１２月'!O54)</f>
        <v>96.59</v>
      </c>
      <c r="P54" s="15">
        <f>SUM('１月:１２月'!P54)</f>
        <v>27.600480000000001</v>
      </c>
      <c r="Q54" s="16">
        <f t="shared" si="0"/>
        <v>6443516.4297875958</v>
      </c>
      <c r="R54" s="44"/>
    </row>
    <row r="55" spans="1:18">
      <c r="A55" s="9" t="s">
        <v>0</v>
      </c>
      <c r="B55" s="292" t="s">
        <v>48</v>
      </c>
      <c r="C55" s="10" t="s">
        <v>11</v>
      </c>
      <c r="D55" s="11">
        <f>SUM('１月:１２月'!D55)</f>
        <v>8.6501999999999999</v>
      </c>
      <c r="E55" s="11">
        <f>SUM('１月:１２月'!E55)</f>
        <v>0</v>
      </c>
      <c r="F55" s="11">
        <f>SUM('１月:１２月'!F55)</f>
        <v>8.6501999999999999</v>
      </c>
      <c r="G55" s="11">
        <f>SUM('１月:１２月'!G55)</f>
        <v>0.69510000000000005</v>
      </c>
      <c r="H55" s="11">
        <f>SUM('１月:１２月'!H55)</f>
        <v>214.54689999999999</v>
      </c>
      <c r="I55" s="11">
        <f>SUM('１月:１２月'!I55)</f>
        <v>0</v>
      </c>
      <c r="J55" s="11">
        <f>SUM('１月:１２月'!J55)</f>
        <v>214.54689999999999</v>
      </c>
      <c r="K55" s="11">
        <f>SUM('１月:１２月'!K55)</f>
        <v>20.023800000000001</v>
      </c>
      <c r="L55" s="11">
        <f>SUM('１月:１２月'!L55)</f>
        <v>0.41020000000000001</v>
      </c>
      <c r="M55" s="11">
        <f>SUM('１月:１２月'!M55)</f>
        <v>8.5000000000000006E-3</v>
      </c>
      <c r="N55" s="11">
        <f>SUM('１月:１２月'!N55)</f>
        <v>1.8636999999999999</v>
      </c>
      <c r="O55" s="11">
        <f>SUM('１月:１２月'!O55)</f>
        <v>0.26869999999999999</v>
      </c>
      <c r="P55" s="11">
        <f>SUM('１月:１２月'!P55)</f>
        <v>2.1191</v>
      </c>
      <c r="Q55" s="12">
        <f t="shared" si="0"/>
        <v>248.58619999999999</v>
      </c>
      <c r="R55" s="44"/>
    </row>
    <row r="56" spans="1:18">
      <c r="A56" s="13" t="s">
        <v>36</v>
      </c>
      <c r="B56" s="293"/>
      <c r="C56" s="14" t="s">
        <v>13</v>
      </c>
      <c r="D56" s="15">
        <f>SUM('１月:１２月'!D56)</f>
        <v>7875.3488009739449</v>
      </c>
      <c r="E56" s="15">
        <f>SUM('１月:１２月'!E56)</f>
        <v>0</v>
      </c>
      <c r="F56" s="15">
        <f>SUM('１月:１２月'!F56)</f>
        <v>7875.3488009739449</v>
      </c>
      <c r="G56" s="15">
        <f>SUM('１月:１２月'!G56)</f>
        <v>1093.1919999999998</v>
      </c>
      <c r="H56" s="15">
        <f>SUM('１月:１２月'!H56)</f>
        <v>113584.09200000002</v>
      </c>
      <c r="I56" s="15">
        <f>SUM('１月:１２月'!I56)</f>
        <v>0</v>
      </c>
      <c r="J56" s="15">
        <f>SUM('１月:１２月'!J56)</f>
        <v>113584.09200000002</v>
      </c>
      <c r="K56" s="15">
        <f>SUM('１月:１２月'!K56)</f>
        <v>10127.578</v>
      </c>
      <c r="L56" s="15">
        <f>SUM('１月:１２月'!L56)</f>
        <v>468.26499999999999</v>
      </c>
      <c r="M56" s="15">
        <f>SUM('１月:１２月'!M56)</f>
        <v>7.9380000000000006</v>
      </c>
      <c r="N56" s="15">
        <f>SUM('１月:１２月'!N56)</f>
        <v>1451.9930000000002</v>
      </c>
      <c r="O56" s="15">
        <f>SUM('１月:１２月'!O56)</f>
        <v>206.76300000000001</v>
      </c>
      <c r="P56" s="15">
        <f>SUM('１月:１２月'!P56)</f>
        <v>1881.3542000000002</v>
      </c>
      <c r="Q56" s="16">
        <f t="shared" si="0"/>
        <v>136696.52400097396</v>
      </c>
      <c r="R56" s="44"/>
    </row>
    <row r="57" spans="1:18">
      <c r="A57" s="13" t="s">
        <v>12</v>
      </c>
      <c r="B57" s="17" t="s">
        <v>15</v>
      </c>
      <c r="C57" s="10" t="s">
        <v>11</v>
      </c>
      <c r="D57" s="11">
        <f>SUM('１月:１２月'!D57)</f>
        <v>25.1585</v>
      </c>
      <c r="E57" s="11">
        <f>SUM('１月:１２月'!E57)</f>
        <v>2.1528</v>
      </c>
      <c r="F57" s="11">
        <f>SUM('１月:１２月'!F57)</f>
        <v>27.311299999999999</v>
      </c>
      <c r="G57" s="11">
        <f>SUM('１月:１２月'!G57)</f>
        <v>1.5470999999999999</v>
      </c>
      <c r="H57" s="11">
        <f>SUM('１月:１２月'!H57)</f>
        <v>3.0223999999999998</v>
      </c>
      <c r="I57" s="11">
        <f>SUM('１月:１２月'!I57)</f>
        <v>0</v>
      </c>
      <c r="J57" s="11">
        <f>SUM('１月:１２月'!J57)</f>
        <v>3.0223999999999998</v>
      </c>
      <c r="K57" s="11">
        <f>SUM('１月:１２月'!K57)</f>
        <v>65.872500000000002</v>
      </c>
      <c r="L57" s="11">
        <f>SUM('１月:１２月'!L57)</f>
        <v>4.1895999999999995</v>
      </c>
      <c r="M57" s="11">
        <f>SUM('１月:１２月'!M57)</f>
        <v>0</v>
      </c>
      <c r="N57" s="11">
        <f>SUM('１月:１２月'!N57)</f>
        <v>0.34720000000000001</v>
      </c>
      <c r="O57" s="11">
        <f>SUM('１月:１２月'!O57)</f>
        <v>1.1800000000000001E-2</v>
      </c>
      <c r="P57" s="11">
        <f>SUM('１月:１２月'!P57)</f>
        <v>2.0844999999999998</v>
      </c>
      <c r="Q57" s="12">
        <f t="shared" si="0"/>
        <v>104.38639999999999</v>
      </c>
      <c r="R57" s="44"/>
    </row>
    <row r="58" spans="1:18">
      <c r="A58" s="13" t="s">
        <v>18</v>
      </c>
      <c r="B58" s="14" t="s">
        <v>49</v>
      </c>
      <c r="C58" s="14" t="s">
        <v>13</v>
      </c>
      <c r="D58" s="15">
        <f>SUM('１月:１２月'!D58)</f>
        <v>2568.6834258317563</v>
      </c>
      <c r="E58" s="15">
        <f>SUM('１月:１２月'!E58)</f>
        <v>1070.7660000000001</v>
      </c>
      <c r="F58" s="15">
        <f>SUM('１月:１２月'!F58)</f>
        <v>3639.4494258317563</v>
      </c>
      <c r="G58" s="15">
        <f>SUM('１月:１２月'!G58)</f>
        <v>936.87400000000002</v>
      </c>
      <c r="H58" s="15">
        <f>SUM('１月:１２月'!H58)</f>
        <v>2536.027</v>
      </c>
      <c r="I58" s="15">
        <f>SUM('１月:１２月'!I58)</f>
        <v>0</v>
      </c>
      <c r="J58" s="15">
        <f>SUM('１月:１２月'!J58)</f>
        <v>2536.027</v>
      </c>
      <c r="K58" s="15">
        <f>SUM('１月:１２月'!K58)</f>
        <v>4608.3999999999996</v>
      </c>
      <c r="L58" s="15">
        <f>SUM('１月:１２月'!L58)</f>
        <v>1146.414</v>
      </c>
      <c r="M58" s="15">
        <f>SUM('１月:１２月'!M58)</f>
        <v>0</v>
      </c>
      <c r="N58" s="15">
        <f>SUM('１月:１２月'!N58)</f>
        <v>230.108</v>
      </c>
      <c r="O58" s="15">
        <f>SUM('１月:１２月'!O58)</f>
        <v>21.654</v>
      </c>
      <c r="P58" s="15">
        <f>SUM('１月:１２月'!P58)</f>
        <v>848.35640000000001</v>
      </c>
      <c r="Q58" s="16">
        <f t="shared" si="0"/>
        <v>13967.282825831759</v>
      </c>
      <c r="R58" s="44"/>
    </row>
    <row r="59" spans="1:18">
      <c r="A59" s="19"/>
      <c r="B59" s="295" t="s">
        <v>19</v>
      </c>
      <c r="C59" s="10" t="s">
        <v>11</v>
      </c>
      <c r="D59" s="11">
        <f>+D55+D57</f>
        <v>33.808700000000002</v>
      </c>
      <c r="E59" s="11">
        <f>+E55+E57</f>
        <v>2.1528</v>
      </c>
      <c r="F59" s="11">
        <f t="shared" ref="F59:O60" si="13">+F55+F57</f>
        <v>35.961500000000001</v>
      </c>
      <c r="G59" s="11">
        <f t="shared" si="13"/>
        <v>2.2422</v>
      </c>
      <c r="H59" s="11">
        <f t="shared" si="13"/>
        <v>217.5693</v>
      </c>
      <c r="I59" s="11">
        <f t="shared" si="13"/>
        <v>0</v>
      </c>
      <c r="J59" s="11">
        <f t="shared" si="13"/>
        <v>217.5693</v>
      </c>
      <c r="K59" s="11">
        <f t="shared" si="13"/>
        <v>85.896299999999997</v>
      </c>
      <c r="L59" s="11">
        <f t="shared" si="13"/>
        <v>4.5997999999999992</v>
      </c>
      <c r="M59" s="11">
        <f t="shared" si="13"/>
        <v>8.5000000000000006E-3</v>
      </c>
      <c r="N59" s="11">
        <f t="shared" si="13"/>
        <v>2.2109000000000001</v>
      </c>
      <c r="O59" s="11">
        <f t="shared" si="13"/>
        <v>0.28049999999999997</v>
      </c>
      <c r="P59" s="11">
        <f t="shared" ref="P59" si="14">+P55+P57</f>
        <v>4.2035999999999998</v>
      </c>
      <c r="Q59" s="12">
        <f t="shared" si="0"/>
        <v>352.97260000000006</v>
      </c>
      <c r="R59" s="44"/>
    </row>
    <row r="60" spans="1:18">
      <c r="A60" s="18"/>
      <c r="B60" s="296"/>
      <c r="C60" s="14" t="s">
        <v>13</v>
      </c>
      <c r="D60" s="15">
        <f>+D56+D58</f>
        <v>10444.032226805701</v>
      </c>
      <c r="E60" s="15">
        <f>+E56+E58</f>
        <v>1070.7660000000001</v>
      </c>
      <c r="F60" s="15">
        <f t="shared" si="13"/>
        <v>11514.798226805702</v>
      </c>
      <c r="G60" s="15">
        <f t="shared" si="13"/>
        <v>2030.0659999999998</v>
      </c>
      <c r="H60" s="15">
        <f t="shared" si="13"/>
        <v>116120.11900000002</v>
      </c>
      <c r="I60" s="15">
        <f t="shared" si="13"/>
        <v>0</v>
      </c>
      <c r="J60" s="15">
        <f t="shared" si="13"/>
        <v>116120.11900000002</v>
      </c>
      <c r="K60" s="15">
        <f t="shared" si="13"/>
        <v>14735.977999999999</v>
      </c>
      <c r="L60" s="15">
        <f t="shared" si="13"/>
        <v>1614.6790000000001</v>
      </c>
      <c r="M60" s="15">
        <f t="shared" si="13"/>
        <v>7.9380000000000006</v>
      </c>
      <c r="N60" s="15">
        <f t="shared" si="13"/>
        <v>1682.1010000000001</v>
      </c>
      <c r="O60" s="15">
        <f t="shared" si="13"/>
        <v>228.417</v>
      </c>
      <c r="P60" s="15">
        <f t="shared" ref="P60" si="15">+P56+P58</f>
        <v>2729.7106000000003</v>
      </c>
      <c r="Q60" s="16">
        <f t="shared" si="0"/>
        <v>150663.8068268057</v>
      </c>
      <c r="R60" s="44"/>
    </row>
    <row r="61" spans="1:18">
      <c r="A61" s="9" t="s">
        <v>0</v>
      </c>
      <c r="B61" s="292" t="s">
        <v>50</v>
      </c>
      <c r="C61" s="10" t="s">
        <v>11</v>
      </c>
      <c r="D61" s="11">
        <f>SUM('１月:１２月'!D61)</f>
        <v>42.555999999999997</v>
      </c>
      <c r="E61" s="11">
        <f>SUM('１月:１２月'!E61)</f>
        <v>30.297999999999998</v>
      </c>
      <c r="F61" s="11">
        <f>SUM('１月:１２月'!F61)</f>
        <v>72.853999999999999</v>
      </c>
      <c r="G61" s="11">
        <f>SUM('１月:１２月'!G61)</f>
        <v>13.3613</v>
      </c>
      <c r="H61" s="11">
        <f>SUM('１月:１２月'!H61)</f>
        <v>120.16240000000001</v>
      </c>
      <c r="I61" s="11">
        <f>SUM('１月:１２月'!I61)</f>
        <v>0</v>
      </c>
      <c r="J61" s="11">
        <f>SUM('１月:１２月'!J61)</f>
        <v>120.16240000000001</v>
      </c>
      <c r="K61" s="11">
        <f>SUM('１月:１２月'!K61)</f>
        <v>0</v>
      </c>
      <c r="L61" s="11">
        <f>SUM('１月:１２月'!L61)</f>
        <v>16.57</v>
      </c>
      <c r="M61" s="11">
        <f>SUM('１月:１２月'!M61)</f>
        <v>0</v>
      </c>
      <c r="N61" s="11">
        <f>SUM('１月:１２月'!N61)</f>
        <v>0</v>
      </c>
      <c r="O61" s="11">
        <f>SUM('１月:１２月'!O61)</f>
        <v>0</v>
      </c>
      <c r="P61" s="11">
        <f>SUM('１月:１２月'!P61)</f>
        <v>0</v>
      </c>
      <c r="Q61" s="12">
        <f t="shared" si="0"/>
        <v>222.9477</v>
      </c>
      <c r="R61" s="44"/>
    </row>
    <row r="62" spans="1:18">
      <c r="A62" s="13" t="s">
        <v>51</v>
      </c>
      <c r="B62" s="293"/>
      <c r="C62" s="14" t="s">
        <v>13</v>
      </c>
      <c r="D62" s="15">
        <f>SUM('１月:１２月'!D62)</f>
        <v>3473.6967207608755</v>
      </c>
      <c r="E62" s="15">
        <f>SUM('１月:１２月'!E62)</f>
        <v>1627.5610000000001</v>
      </c>
      <c r="F62" s="15">
        <f>SUM('１月:１２月'!F62)</f>
        <v>5101.2577207608756</v>
      </c>
      <c r="G62" s="15">
        <f>SUM('１月:１２月'!G62)</f>
        <v>892.47199999999987</v>
      </c>
      <c r="H62" s="15">
        <f>SUM('１月:１２月'!H62)</f>
        <v>5909.5239999999994</v>
      </c>
      <c r="I62" s="15">
        <f>SUM('１月:１２月'!I62)</f>
        <v>0</v>
      </c>
      <c r="J62" s="15">
        <f>SUM('１月:１２月'!J62)</f>
        <v>5909.5239999999994</v>
      </c>
      <c r="K62" s="15">
        <f>SUM('１月:１２月'!K62)</f>
        <v>0</v>
      </c>
      <c r="L62" s="15">
        <f>SUM('１月:１２月'!L62)</f>
        <v>358.44400000000002</v>
      </c>
      <c r="M62" s="15">
        <f>SUM('１月:１２月'!M62)</f>
        <v>0</v>
      </c>
      <c r="N62" s="15">
        <f>SUM('１月:１２月'!N62)</f>
        <v>0</v>
      </c>
      <c r="O62" s="15">
        <f>SUM('１月:１２月'!O62)</f>
        <v>0</v>
      </c>
      <c r="P62" s="15">
        <f>SUM('１月:１２月'!P62)</f>
        <v>0</v>
      </c>
      <c r="Q62" s="16">
        <f t="shared" si="0"/>
        <v>12261.697720760874</v>
      </c>
      <c r="R62" s="44"/>
    </row>
    <row r="63" spans="1:18">
      <c r="A63" s="13" t="s">
        <v>0</v>
      </c>
      <c r="B63" s="17" t="s">
        <v>52</v>
      </c>
      <c r="C63" s="10" t="s">
        <v>11</v>
      </c>
      <c r="D63" s="11">
        <f>SUM('１月:１２月'!D63)</f>
        <v>113.614</v>
      </c>
      <c r="E63" s="11">
        <f>SUM('１月:１２月'!E63)</f>
        <v>216.89000000000001</v>
      </c>
      <c r="F63" s="11">
        <f>SUM('１月:１２月'!F63)</f>
        <v>330.50400000000002</v>
      </c>
      <c r="G63" s="11">
        <f>SUM('１月:１２月'!G63)</f>
        <v>5550.0750000000007</v>
      </c>
      <c r="H63" s="11">
        <f>SUM('１月:１２月'!H63)</f>
        <v>0</v>
      </c>
      <c r="I63" s="11">
        <f>SUM('１月:１２月'!I63)</f>
        <v>0</v>
      </c>
      <c r="J63" s="11">
        <f>SUM('１月:１２月'!J63)</f>
        <v>0</v>
      </c>
      <c r="K63" s="11">
        <f>SUM('１月:１２月'!K63)</f>
        <v>0</v>
      </c>
      <c r="L63" s="11">
        <f>SUM('１月:１２月'!L63)</f>
        <v>0</v>
      </c>
      <c r="M63" s="11">
        <f>SUM('１月:１２月'!M63)</f>
        <v>0</v>
      </c>
      <c r="N63" s="11">
        <f>SUM('１月:１２月'!N63)</f>
        <v>0</v>
      </c>
      <c r="O63" s="11">
        <f>SUM('１月:１２月'!O63)</f>
        <v>0</v>
      </c>
      <c r="P63" s="11">
        <f>SUM('１月:１２月'!P63)</f>
        <v>0</v>
      </c>
      <c r="Q63" s="12">
        <f t="shared" si="0"/>
        <v>5880.5790000000006</v>
      </c>
      <c r="R63" s="44"/>
    </row>
    <row r="64" spans="1:18">
      <c r="A64" s="13" t="s">
        <v>53</v>
      </c>
      <c r="B64" s="14" t="s">
        <v>54</v>
      </c>
      <c r="C64" s="14" t="s">
        <v>13</v>
      </c>
      <c r="D64" s="15">
        <f>SUM('１月:１２月'!D64)</f>
        <v>9544.7051268444484</v>
      </c>
      <c r="E64" s="15">
        <f>SUM('１月:１２月'!E64)</f>
        <v>17912.815999999999</v>
      </c>
      <c r="F64" s="15">
        <f>SUM('１月:１２月'!F64)</f>
        <v>27457.521126844447</v>
      </c>
      <c r="G64" s="15">
        <f>SUM('１月:１２月'!G64)</f>
        <v>693782.51699999999</v>
      </c>
      <c r="H64" s="15">
        <f>SUM('１月:１２月'!H64)</f>
        <v>0</v>
      </c>
      <c r="I64" s="15">
        <f>SUM('１月:１２月'!I64)</f>
        <v>0</v>
      </c>
      <c r="J64" s="15">
        <f>SUM('１月:１２月'!J64)</f>
        <v>0</v>
      </c>
      <c r="K64" s="15">
        <f>SUM('１月:１２月'!K64)</f>
        <v>0</v>
      </c>
      <c r="L64" s="15">
        <f>SUM('１月:１２月'!L64)</f>
        <v>0</v>
      </c>
      <c r="M64" s="15">
        <f>SUM('１月:１２月'!M64)</f>
        <v>0</v>
      </c>
      <c r="N64" s="15">
        <f>SUM('１月:１２月'!N64)</f>
        <v>0</v>
      </c>
      <c r="O64" s="15">
        <f>SUM('１月:１２月'!O64)</f>
        <v>0</v>
      </c>
      <c r="P64" s="15">
        <f>SUM('１月:１２月'!P64)</f>
        <v>0</v>
      </c>
      <c r="Q64" s="16">
        <f t="shared" si="0"/>
        <v>721240.03812684445</v>
      </c>
      <c r="R64" s="44"/>
    </row>
    <row r="65" spans="1:18">
      <c r="A65" s="13" t="s">
        <v>0</v>
      </c>
      <c r="B65" s="292" t="s">
        <v>55</v>
      </c>
      <c r="C65" s="10" t="s">
        <v>11</v>
      </c>
      <c r="D65" s="11">
        <f>SUM('１月:１２月'!D65)</f>
        <v>0.05</v>
      </c>
      <c r="E65" s="11">
        <f>SUM('１月:１２月'!E65)</f>
        <v>0.1</v>
      </c>
      <c r="F65" s="11">
        <f>SUM('１月:１２月'!F65)</f>
        <v>0.15000000000000002</v>
      </c>
      <c r="G65" s="11">
        <f>SUM('１月:１２月'!G65)</f>
        <v>3463.6620000000003</v>
      </c>
      <c r="H65" s="11">
        <f>SUM('１月:１２月'!H65)</f>
        <v>0.40800000000000003</v>
      </c>
      <c r="I65" s="11">
        <f>SUM('１月:１２月'!I65)</f>
        <v>0</v>
      </c>
      <c r="J65" s="11">
        <f>SUM('１月:１２月'!J65)</f>
        <v>0.40800000000000003</v>
      </c>
      <c r="K65" s="11">
        <f>SUM('１月:１２月'!K65)</f>
        <v>2E-3</v>
      </c>
      <c r="L65" s="11">
        <f>SUM('１月:１２月'!L65)</f>
        <v>7.5000000000000011E-2</v>
      </c>
      <c r="M65" s="11">
        <f>SUM('１月:１２月'!M65)</f>
        <v>0</v>
      </c>
      <c r="N65" s="11">
        <f>SUM('１月:１２月'!N65)</f>
        <v>0</v>
      </c>
      <c r="O65" s="11">
        <f>SUM('１月:１２月'!O65)</f>
        <v>0</v>
      </c>
      <c r="P65" s="11">
        <f>SUM('１月:１２月'!P65)</f>
        <v>0</v>
      </c>
      <c r="Q65" s="12">
        <f t="shared" si="0"/>
        <v>3464.297</v>
      </c>
      <c r="R65" s="44"/>
    </row>
    <row r="66" spans="1:18">
      <c r="A66" s="13" t="s">
        <v>18</v>
      </c>
      <c r="B66" s="293"/>
      <c r="C66" s="14" t="s">
        <v>13</v>
      </c>
      <c r="D66" s="15">
        <f>SUM('１月:１２月'!D66)</f>
        <v>5.3999999093979341</v>
      </c>
      <c r="E66" s="15">
        <f>SUM('１月:１２月'!E66)</f>
        <v>8.7260000000000009</v>
      </c>
      <c r="F66" s="15">
        <f>SUM('１月:１２月'!F66)</f>
        <v>14.125999909397933</v>
      </c>
      <c r="G66" s="15">
        <f>SUM('１月:１２月'!G66)</f>
        <v>426070.23899999994</v>
      </c>
      <c r="H66" s="15">
        <f>SUM('１月:１２月'!H66)</f>
        <v>59.730000000000004</v>
      </c>
      <c r="I66" s="15">
        <f>SUM('１月:１２月'!I66)</f>
        <v>0</v>
      </c>
      <c r="J66" s="15">
        <f>SUM('１月:１２月'!J66)</f>
        <v>59.730000000000004</v>
      </c>
      <c r="K66" s="15">
        <f>SUM('１月:１２月'!K66)</f>
        <v>3.1950000000000003</v>
      </c>
      <c r="L66" s="15">
        <f>SUM('１月:１２月'!L66)</f>
        <v>5.3940000000000001</v>
      </c>
      <c r="M66" s="15">
        <f>SUM('１月:１２月'!M66)</f>
        <v>0</v>
      </c>
      <c r="N66" s="15">
        <f>SUM('１月:１２月'!N66)</f>
        <v>0</v>
      </c>
      <c r="O66" s="15">
        <f>SUM('１月:１２月'!O66)</f>
        <v>0</v>
      </c>
      <c r="P66" s="15">
        <f>SUM('１月:１２月'!P66)</f>
        <v>0</v>
      </c>
      <c r="Q66" s="16">
        <f t="shared" si="0"/>
        <v>426152.68399990932</v>
      </c>
      <c r="R66" s="44"/>
    </row>
    <row r="67" spans="1:18">
      <c r="A67" s="19"/>
      <c r="B67" s="17" t="s">
        <v>15</v>
      </c>
      <c r="C67" s="10" t="s">
        <v>11</v>
      </c>
      <c r="D67" s="11">
        <f>SUM('１月:１２月'!D67)</f>
        <v>3.2560000000000002</v>
      </c>
      <c r="E67" s="11">
        <f>SUM('１月:１２月'!E67)</f>
        <v>2.7092999999999994</v>
      </c>
      <c r="F67" s="11">
        <f>SUM('１月:１２月'!F67)</f>
        <v>5.9652999999999992</v>
      </c>
      <c r="G67" s="11">
        <f>SUM('１月:１２月'!G67)</f>
        <v>740.86929999999995</v>
      </c>
      <c r="H67" s="11">
        <f>SUM('１月:１２月'!H67)</f>
        <v>0</v>
      </c>
      <c r="I67" s="11">
        <f>SUM('１月:１２月'!I67)</f>
        <v>0</v>
      </c>
      <c r="J67" s="11">
        <f>SUM('１月:１２月'!J67)</f>
        <v>0</v>
      </c>
      <c r="K67" s="11">
        <f>SUM('１月:１２月'!K67)</f>
        <v>6.9472000000000005</v>
      </c>
      <c r="L67" s="11">
        <f>SUM('１月:１２月'!L67)</f>
        <v>0.27700000000000002</v>
      </c>
      <c r="M67" s="11">
        <f>SUM('１月:１２月'!M67)</f>
        <v>0</v>
      </c>
      <c r="N67" s="11">
        <f>SUM('１月:１２月'!N67)</f>
        <v>0</v>
      </c>
      <c r="O67" s="11">
        <f>SUM('１月:１２月'!O67)</f>
        <v>0</v>
      </c>
      <c r="P67" s="11">
        <f>SUM('１月:１２月'!P67)</f>
        <v>1.2999999999999999E-2</v>
      </c>
      <c r="Q67" s="12">
        <f t="shared" si="0"/>
        <v>754.07179999999994</v>
      </c>
      <c r="R67" s="44"/>
    </row>
    <row r="68" spans="1:18" ht="19.5" thickBot="1">
      <c r="A68" s="20" t="s">
        <v>0</v>
      </c>
      <c r="B68" s="21" t="s">
        <v>54</v>
      </c>
      <c r="C68" s="21" t="s">
        <v>13</v>
      </c>
      <c r="D68" s="22">
        <f>SUM('１月:１２月'!D68)</f>
        <v>445.76039950658065</v>
      </c>
      <c r="E68" s="22">
        <f>SUM('１月:１２月'!E68)</f>
        <v>105.97599999999998</v>
      </c>
      <c r="F68" s="22">
        <f>SUM('１月:１２月'!F68)</f>
        <v>551.73639950658071</v>
      </c>
      <c r="G68" s="22">
        <f>SUM('１月:１２月'!G68)</f>
        <v>102712.719</v>
      </c>
      <c r="H68" s="22">
        <f>SUM('１月:１２月'!H68)</f>
        <v>0</v>
      </c>
      <c r="I68" s="22">
        <f>SUM('１月:１２月'!I68)</f>
        <v>0</v>
      </c>
      <c r="J68" s="22">
        <f>SUM('１月:１２月'!J68)</f>
        <v>0</v>
      </c>
      <c r="K68" s="22">
        <f>SUM('１月:１２月'!K68)</f>
        <v>345.79700000000003</v>
      </c>
      <c r="L68" s="22">
        <f>SUM('１月:１２月'!L68)</f>
        <v>82.001999999999995</v>
      </c>
      <c r="M68" s="22">
        <f>SUM('１月:１２月'!M68)</f>
        <v>0</v>
      </c>
      <c r="N68" s="22">
        <f>SUM('１月:１２月'!N68)</f>
        <v>0</v>
      </c>
      <c r="O68" s="22">
        <f>SUM('１月:１２月'!O68)</f>
        <v>0</v>
      </c>
      <c r="P68" s="22">
        <f>SUM('１月:１２月'!P68)</f>
        <v>0.70200000000000007</v>
      </c>
      <c r="Q68" s="23">
        <f t="shared" si="0"/>
        <v>103692.95639950658</v>
      </c>
      <c r="R68" s="44"/>
    </row>
    <row r="69" spans="1:18">
      <c r="D69" s="1"/>
      <c r="E69" s="1"/>
      <c r="F69" s="1"/>
      <c r="G69" s="1"/>
      <c r="H69" s="1"/>
      <c r="I69" s="61"/>
      <c r="J69" s="1"/>
      <c r="K69" s="1"/>
      <c r="L69" s="1"/>
      <c r="M69" s="1"/>
      <c r="N69" s="1"/>
      <c r="O69" s="1"/>
      <c r="P69" s="1"/>
      <c r="Q69" s="1"/>
    </row>
    <row r="70" spans="1:18">
      <c r="D70" s="1"/>
      <c r="E70" s="1"/>
      <c r="F70" s="1"/>
      <c r="G70" s="1"/>
      <c r="H70" s="1"/>
      <c r="I70" s="61"/>
      <c r="J70" s="1"/>
      <c r="K70" s="1"/>
      <c r="L70" s="1"/>
      <c r="M70" s="1"/>
      <c r="N70" s="1"/>
      <c r="O70" s="1"/>
      <c r="P70" s="1"/>
      <c r="Q70" s="1"/>
    </row>
    <row r="71" spans="1:18">
      <c r="D71" s="1"/>
      <c r="E71" s="1"/>
      <c r="F71" s="1"/>
      <c r="G71" s="1"/>
      <c r="H71" s="1"/>
      <c r="I71" s="61"/>
      <c r="J71" s="1"/>
      <c r="K71" s="1"/>
      <c r="L71" s="1"/>
      <c r="M71" s="1"/>
      <c r="N71" s="1"/>
      <c r="O71" s="1"/>
      <c r="P71" s="1"/>
      <c r="Q71" s="1"/>
    </row>
    <row r="72" spans="1:18">
      <c r="D72" s="1"/>
      <c r="E72" s="1"/>
      <c r="F72" s="1"/>
      <c r="G72" s="1"/>
      <c r="H72" s="1"/>
      <c r="I72" s="61"/>
      <c r="J72" s="1"/>
      <c r="K72" s="1"/>
      <c r="L72" s="1"/>
      <c r="M72" s="1"/>
      <c r="N72" s="1"/>
      <c r="O72" s="1"/>
      <c r="P72" s="1"/>
      <c r="Q72" s="1"/>
    </row>
    <row r="73" spans="1:18">
      <c r="D73" s="1"/>
      <c r="E73" s="1"/>
      <c r="F73" s="1"/>
      <c r="G73" s="1"/>
      <c r="H73" s="1"/>
      <c r="I73" s="61"/>
      <c r="J73" s="1"/>
      <c r="K73" s="1"/>
      <c r="L73" s="1"/>
      <c r="M73" s="1"/>
      <c r="N73" s="1"/>
      <c r="O73" s="1"/>
      <c r="P73" s="1"/>
      <c r="Q73" s="1"/>
    </row>
    <row r="74" spans="1:18" ht="19.5" thickBot="1">
      <c r="A74" s="3"/>
      <c r="B74" s="40" t="s">
        <v>102</v>
      </c>
      <c r="C74" s="3"/>
      <c r="D74" s="3"/>
      <c r="E74" s="3"/>
      <c r="F74" s="3"/>
      <c r="G74" s="3"/>
      <c r="H74" s="3"/>
      <c r="I74" s="62"/>
      <c r="J74" s="3"/>
      <c r="K74" s="3"/>
      <c r="L74" s="3"/>
      <c r="M74" s="3"/>
      <c r="N74" s="3"/>
      <c r="O74" s="3"/>
      <c r="P74" s="3"/>
      <c r="Q74" s="3"/>
    </row>
    <row r="75" spans="1:18">
      <c r="A75" s="18"/>
      <c r="B75" s="24"/>
      <c r="C75" s="24"/>
      <c r="D75" s="42" t="s">
        <v>1</v>
      </c>
      <c r="E75" s="6" t="s">
        <v>98</v>
      </c>
      <c r="F75" s="7" t="s">
        <v>2</v>
      </c>
      <c r="G75" s="6" t="s">
        <v>99</v>
      </c>
      <c r="H75" s="43" t="s">
        <v>3</v>
      </c>
      <c r="I75" s="42" t="s">
        <v>4</v>
      </c>
      <c r="J75" s="42" t="s">
        <v>100</v>
      </c>
      <c r="K75" s="43" t="s">
        <v>5</v>
      </c>
      <c r="L75" s="42" t="s">
        <v>101</v>
      </c>
      <c r="M75" s="42" t="s">
        <v>6</v>
      </c>
      <c r="N75" s="42" t="s">
        <v>7</v>
      </c>
      <c r="O75" s="42" t="s">
        <v>8</v>
      </c>
      <c r="P75" s="6" t="s">
        <v>9</v>
      </c>
      <c r="Q75" s="8" t="s">
        <v>93</v>
      </c>
      <c r="R75" s="44"/>
    </row>
    <row r="76" spans="1:18">
      <c r="A76" s="13" t="s">
        <v>51</v>
      </c>
      <c r="B76" s="295" t="s">
        <v>19</v>
      </c>
      <c r="C76" s="10" t="s">
        <v>11</v>
      </c>
      <c r="D76" s="11">
        <f t="shared" ref="D76:O76" si="16">+D61+D63+D65+D67</f>
        <v>159.47600000000003</v>
      </c>
      <c r="E76" s="11">
        <f t="shared" si="16"/>
        <v>249.99730000000002</v>
      </c>
      <c r="F76" s="11">
        <f t="shared" si="16"/>
        <v>409.47329999999999</v>
      </c>
      <c r="G76" s="11">
        <f t="shared" si="16"/>
        <v>9767.9676000000018</v>
      </c>
      <c r="H76" s="11">
        <f t="shared" si="16"/>
        <v>120.57040000000001</v>
      </c>
      <c r="I76" s="11">
        <f t="shared" si="16"/>
        <v>0</v>
      </c>
      <c r="J76" s="11">
        <f t="shared" si="16"/>
        <v>120.57040000000001</v>
      </c>
      <c r="K76" s="11">
        <f t="shared" si="16"/>
        <v>6.9492000000000003</v>
      </c>
      <c r="L76" s="11">
        <f t="shared" si="16"/>
        <v>16.922000000000001</v>
      </c>
      <c r="M76" s="11">
        <f t="shared" si="16"/>
        <v>0</v>
      </c>
      <c r="N76" s="11">
        <f t="shared" si="16"/>
        <v>0</v>
      </c>
      <c r="O76" s="11">
        <f t="shared" si="16"/>
        <v>0</v>
      </c>
      <c r="P76" s="11">
        <f t="shared" ref="P76" si="17">+P61+P63+P65+P67</f>
        <v>1.2999999999999999E-2</v>
      </c>
      <c r="Q76" s="12">
        <f t="shared" ref="Q76:Q140" si="18">SUM(F76:G76,J76:P76)</f>
        <v>10321.895500000002</v>
      </c>
      <c r="R76" s="45"/>
    </row>
    <row r="77" spans="1:18">
      <c r="A77" s="4" t="s">
        <v>53</v>
      </c>
      <c r="B77" s="296"/>
      <c r="C77" s="14" t="s">
        <v>13</v>
      </c>
      <c r="D77" s="15">
        <f t="shared" ref="D77:O77" si="19">+D62+D64+D66+D68</f>
        <v>13469.562247021302</v>
      </c>
      <c r="E77" s="15">
        <f t="shared" si="19"/>
        <v>19655.078999999998</v>
      </c>
      <c r="F77" s="15">
        <f t="shared" si="19"/>
        <v>33124.641247021304</v>
      </c>
      <c r="G77" s="15">
        <f t="shared" si="19"/>
        <v>1223457.9469999999</v>
      </c>
      <c r="H77" s="15">
        <f t="shared" si="19"/>
        <v>5969.253999999999</v>
      </c>
      <c r="I77" s="15">
        <f t="shared" si="19"/>
        <v>0</v>
      </c>
      <c r="J77" s="15">
        <f t="shared" si="19"/>
        <v>5969.253999999999</v>
      </c>
      <c r="K77" s="15">
        <f t="shared" si="19"/>
        <v>348.99200000000002</v>
      </c>
      <c r="L77" s="15">
        <f t="shared" si="19"/>
        <v>445.84000000000003</v>
      </c>
      <c r="M77" s="15">
        <f t="shared" si="19"/>
        <v>0</v>
      </c>
      <c r="N77" s="15">
        <f t="shared" si="19"/>
        <v>0</v>
      </c>
      <c r="O77" s="15">
        <f t="shared" si="19"/>
        <v>0</v>
      </c>
      <c r="P77" s="15">
        <f t="shared" ref="P77" si="20">+P62+P64+P66+P68</f>
        <v>0.70200000000000007</v>
      </c>
      <c r="Q77" s="16">
        <f t="shared" si="18"/>
        <v>1263347.3762470214</v>
      </c>
      <c r="R77" s="45"/>
    </row>
    <row r="78" spans="1:18">
      <c r="A78" s="13" t="s">
        <v>0</v>
      </c>
      <c r="B78" s="292" t="s">
        <v>57</v>
      </c>
      <c r="C78" s="10" t="s">
        <v>11</v>
      </c>
      <c r="D78" s="11">
        <f>SUM('１月:１２月'!D78)</f>
        <v>106.49139999999998</v>
      </c>
      <c r="E78" s="11">
        <f>SUM('１月:１２月'!E78)</f>
        <v>107.64110000000001</v>
      </c>
      <c r="F78" s="11">
        <f>SUM('１月:１２月'!F78)</f>
        <v>214.13250000000002</v>
      </c>
      <c r="G78" s="11">
        <f>SUM('１月:１２月'!G78)</f>
        <v>30.017599999999998</v>
      </c>
      <c r="H78" s="11">
        <f>SUM('１月:１２月'!H78)</f>
        <v>786.57010000000014</v>
      </c>
      <c r="I78" s="11">
        <f>SUM('１月:１２月'!I78)</f>
        <v>0</v>
      </c>
      <c r="J78" s="11">
        <f>SUM('１月:１２月'!J78)</f>
        <v>786.57010000000014</v>
      </c>
      <c r="K78" s="11">
        <f>SUM('１月:１２月'!K78)</f>
        <v>42.089199999999998</v>
      </c>
      <c r="L78" s="11">
        <f>SUM('１月:１２月'!L78)</f>
        <v>28.3475</v>
      </c>
      <c r="M78" s="11">
        <f>SUM('１月:１２月'!M78)</f>
        <v>1.0927</v>
      </c>
      <c r="N78" s="11">
        <f>SUM('１月:１２月'!N78)</f>
        <v>228.64672000000002</v>
      </c>
      <c r="O78" s="11">
        <f>SUM('１月:１２月'!O78)</f>
        <v>73.800799999999981</v>
      </c>
      <c r="P78" s="11">
        <f>SUM('１月:１２月'!P78)</f>
        <v>163.96175000000002</v>
      </c>
      <c r="Q78" s="12">
        <f t="shared" si="18"/>
        <v>1568.65887</v>
      </c>
      <c r="R78" s="45"/>
    </row>
    <row r="79" spans="1:18">
      <c r="A79" s="13" t="s">
        <v>31</v>
      </c>
      <c r="B79" s="293"/>
      <c r="C79" s="14" t="s">
        <v>13</v>
      </c>
      <c r="D79" s="15">
        <f>SUM('１月:１２月'!D79)</f>
        <v>88299.699541061593</v>
      </c>
      <c r="E79" s="15">
        <f>SUM('１月:１２月'!E79)</f>
        <v>88406.771999999997</v>
      </c>
      <c r="F79" s="15">
        <f>SUM('１月:１２月'!F79)</f>
        <v>176706.47154106159</v>
      </c>
      <c r="G79" s="15">
        <f>SUM('１月:１２月'!G79)</f>
        <v>37379.788</v>
      </c>
      <c r="H79" s="15">
        <f>SUM('１月:１２月'!H79)</f>
        <v>433182.26799999998</v>
      </c>
      <c r="I79" s="15">
        <f>SUM('１月:１２月'!I79)</f>
        <v>0</v>
      </c>
      <c r="J79" s="15">
        <f>SUM('１月:１２月'!J79)</f>
        <v>433182.26799999998</v>
      </c>
      <c r="K79" s="15">
        <f>SUM('１月:１２月'!K79)</f>
        <v>29830.875999999997</v>
      </c>
      <c r="L79" s="15">
        <f>SUM('１月:１２月'!L79)</f>
        <v>31115.392</v>
      </c>
      <c r="M79" s="15">
        <f>SUM('１月:１２月'!M79)</f>
        <v>628.75980000000004</v>
      </c>
      <c r="N79" s="15">
        <f>SUM('１月:１２月'!N79)</f>
        <v>173216.99099999998</v>
      </c>
      <c r="O79" s="15">
        <f>SUM('１月:１２月'!O79)</f>
        <v>43618.735000000001</v>
      </c>
      <c r="P79" s="15">
        <f>SUM('１月:１２月'!P79)</f>
        <v>101084.11648</v>
      </c>
      <c r="Q79" s="16">
        <f t="shared" si="18"/>
        <v>1026763.3978210615</v>
      </c>
      <c r="R79" s="45"/>
    </row>
    <row r="80" spans="1:18">
      <c r="A80" s="13" t="s">
        <v>0</v>
      </c>
      <c r="B80" s="292" t="s">
        <v>58</v>
      </c>
      <c r="C80" s="10" t="s">
        <v>11</v>
      </c>
      <c r="D80" s="11">
        <f>SUM('１月:１２月'!D80)</f>
        <v>0</v>
      </c>
      <c r="E80" s="11">
        <f>SUM('１月:１２月'!E80)</f>
        <v>0.40780000000000011</v>
      </c>
      <c r="F80" s="11">
        <f>SUM('１月:１２月'!F80)</f>
        <v>0.40780000000000011</v>
      </c>
      <c r="G80" s="11">
        <f>SUM('１月:１２月'!G80)</f>
        <v>0.06</v>
      </c>
      <c r="H80" s="11">
        <f>SUM('１月:１２月'!H80)</f>
        <v>13.823600000000001</v>
      </c>
      <c r="I80" s="11">
        <f>SUM('１月:１２月'!I80)</f>
        <v>0</v>
      </c>
      <c r="J80" s="11">
        <f>SUM('１月:１２月'!J80)</f>
        <v>13.823600000000001</v>
      </c>
      <c r="K80" s="11">
        <f>SUM('１月:１２月'!K80)</f>
        <v>0.377</v>
      </c>
      <c r="L80" s="11">
        <f>SUM('１月:１２月'!L80)</f>
        <v>0</v>
      </c>
      <c r="M80" s="11">
        <f>SUM('１月:１２月'!M80)</f>
        <v>0</v>
      </c>
      <c r="N80" s="11">
        <f>SUM('１月:１２月'!N80)</f>
        <v>0</v>
      </c>
      <c r="O80" s="11">
        <f>SUM('１月:１２月'!O80)</f>
        <v>0</v>
      </c>
      <c r="P80" s="11">
        <f>SUM('１月:１２月'!P80)</f>
        <v>0</v>
      </c>
      <c r="Q80" s="12">
        <f t="shared" si="18"/>
        <v>14.668400000000002</v>
      </c>
      <c r="R80" s="45"/>
    </row>
    <row r="81" spans="1:18">
      <c r="A81" s="13" t="s">
        <v>0</v>
      </c>
      <c r="B81" s="293"/>
      <c r="C81" s="14" t="s">
        <v>13</v>
      </c>
      <c r="D81" s="15">
        <v>0</v>
      </c>
      <c r="E81" s="15">
        <f>SUM('１月:１２月'!E81)</f>
        <v>48.536999999999999</v>
      </c>
      <c r="F81" s="15">
        <f>SUM('１月:１２月'!F81)</f>
        <v>48.536999999999999</v>
      </c>
      <c r="G81" s="15">
        <f>SUM('１月:１２月'!G81)</f>
        <v>26.442999999999998</v>
      </c>
      <c r="H81" s="15">
        <f>SUM('１月:１２月'!H81)</f>
        <v>1705.8230000000003</v>
      </c>
      <c r="I81" s="15">
        <f>SUM('１月:１２月'!I81)</f>
        <v>0</v>
      </c>
      <c r="J81" s="15">
        <f>SUM('１月:１２月'!J81)</f>
        <v>1705.8230000000003</v>
      </c>
      <c r="K81" s="15">
        <f>SUM('１月:１２月'!K81)</f>
        <v>54.850999999999992</v>
      </c>
      <c r="L81" s="15">
        <f>SUM('１月:１２月'!L81)</f>
        <v>0</v>
      </c>
      <c r="M81" s="15">
        <f>SUM('１月:１２月'!M81)</f>
        <v>0</v>
      </c>
      <c r="N81" s="15">
        <f>SUM('１月:１２月'!N81)</f>
        <v>0</v>
      </c>
      <c r="O81" s="15">
        <f>SUM('１月:１２月'!O81)</f>
        <v>0</v>
      </c>
      <c r="P81" s="15">
        <f>SUM('１月:１２月'!P81)</f>
        <v>0</v>
      </c>
      <c r="Q81" s="16">
        <f t="shared" si="18"/>
        <v>1835.6540000000002</v>
      </c>
      <c r="R81" s="45"/>
    </row>
    <row r="82" spans="1:18">
      <c r="A82" s="13" t="s">
        <v>59</v>
      </c>
      <c r="B82" s="17" t="s">
        <v>60</v>
      </c>
      <c r="C82" s="10" t="s">
        <v>11</v>
      </c>
      <c r="D82" s="11">
        <f>SUM('１月:１２月'!D82)</f>
        <v>0</v>
      </c>
      <c r="E82" s="11">
        <f>SUM('１月:１２月'!E82)</f>
        <v>0</v>
      </c>
      <c r="F82" s="11">
        <f>SUM('１月:１２月'!F82)</f>
        <v>0</v>
      </c>
      <c r="G82" s="11">
        <f>SUM('１月:１２月'!G82)</f>
        <v>0</v>
      </c>
      <c r="H82" s="11">
        <f>SUM('１月:１２月'!H82)</f>
        <v>1.8E-3</v>
      </c>
      <c r="I82" s="11">
        <f>SUM('１月:１２月'!I82)</f>
        <v>0</v>
      </c>
      <c r="J82" s="11">
        <f>SUM('１月:１２月'!J82)</f>
        <v>1.8E-3</v>
      </c>
      <c r="K82" s="11">
        <f>SUM('１月:１２月'!K82)</f>
        <v>91.957999999999998</v>
      </c>
      <c r="L82" s="11">
        <f>SUM('１月:１２月'!L82)</f>
        <v>0</v>
      </c>
      <c r="M82" s="11">
        <f>SUM('１月:１２月'!M82)</f>
        <v>0</v>
      </c>
      <c r="N82" s="11">
        <f>SUM('１月:１２月'!N82)</f>
        <v>0</v>
      </c>
      <c r="O82" s="11">
        <f>SUM('１月:１２月'!O82)</f>
        <v>0</v>
      </c>
      <c r="P82" s="11">
        <f>SUM('１月:１２月'!P82)</f>
        <v>0</v>
      </c>
      <c r="Q82" s="12">
        <f t="shared" si="18"/>
        <v>91.959800000000001</v>
      </c>
      <c r="R82" s="45"/>
    </row>
    <row r="83" spans="1:18">
      <c r="A83" s="13"/>
      <c r="B83" s="14" t="s">
        <v>61</v>
      </c>
      <c r="C83" s="14" t="s">
        <v>13</v>
      </c>
      <c r="D83" s="15">
        <v>0</v>
      </c>
      <c r="E83" s="15">
        <f>SUM('１月:１２月'!E83)</f>
        <v>0</v>
      </c>
      <c r="F83" s="15">
        <f>SUM('１月:１２月'!F83)</f>
        <v>0</v>
      </c>
      <c r="G83" s="15">
        <f>SUM('１月:１２月'!G83)</f>
        <v>0</v>
      </c>
      <c r="H83" s="15">
        <f>SUM('１月:１２月'!H83)</f>
        <v>0.16200000000000001</v>
      </c>
      <c r="I83" s="15">
        <f>SUM('１月:１２月'!I83)</f>
        <v>0</v>
      </c>
      <c r="J83" s="15">
        <f>SUM('１月:１２月'!J83)</f>
        <v>0.16200000000000001</v>
      </c>
      <c r="K83" s="15">
        <f>SUM('１月:１２月'!K83)</f>
        <v>75678.720000000001</v>
      </c>
      <c r="L83" s="15">
        <f>SUM('１月:１２月'!L83)</f>
        <v>0</v>
      </c>
      <c r="M83" s="15">
        <f>SUM('１月:１２月'!M83)</f>
        <v>0</v>
      </c>
      <c r="N83" s="15">
        <f>SUM('１月:１２月'!N83)</f>
        <v>0</v>
      </c>
      <c r="O83" s="15">
        <f>SUM('１月:１２月'!O83)</f>
        <v>0</v>
      </c>
      <c r="P83" s="15">
        <f>SUM('１月:１２月'!P83)</f>
        <v>0</v>
      </c>
      <c r="Q83" s="16">
        <f t="shared" si="18"/>
        <v>75678.881999999998</v>
      </c>
      <c r="R83" s="45"/>
    </row>
    <row r="84" spans="1:18">
      <c r="A84" s="13"/>
      <c r="B84" s="292" t="s">
        <v>62</v>
      </c>
      <c r="C84" s="10" t="s">
        <v>11</v>
      </c>
      <c r="D84" s="11">
        <f>SUM('１月:１２月'!D84)</f>
        <v>0</v>
      </c>
      <c r="E84" s="11">
        <f>SUM('１月:１２月'!E84)</f>
        <v>0</v>
      </c>
      <c r="F84" s="11">
        <f>SUM('１月:１２月'!F84)</f>
        <v>0</v>
      </c>
      <c r="G84" s="11">
        <f>SUM('１月:１２月'!G84)</f>
        <v>0</v>
      </c>
      <c r="H84" s="11">
        <f>SUM('１月:１２月'!H84)</f>
        <v>0</v>
      </c>
      <c r="I84" s="11">
        <f>SUM('１月:１２月'!I84)</f>
        <v>0</v>
      </c>
      <c r="J84" s="11">
        <f>SUM('１月:１２月'!J84)</f>
        <v>0</v>
      </c>
      <c r="K84" s="11">
        <f>SUM('１月:１２月'!K84)</f>
        <v>0</v>
      </c>
      <c r="L84" s="11">
        <f>SUM('１月:１２月'!L84)</f>
        <v>0</v>
      </c>
      <c r="M84" s="11">
        <f>SUM('１月:１２月'!M84)</f>
        <v>0</v>
      </c>
      <c r="N84" s="11">
        <f>SUM('１月:１２月'!N84)</f>
        <v>0</v>
      </c>
      <c r="O84" s="11">
        <f>SUM('１月:１２月'!O84)</f>
        <v>0</v>
      </c>
      <c r="P84" s="11">
        <f>SUM('１月:１２月'!P84)</f>
        <v>0</v>
      </c>
      <c r="Q84" s="12">
        <f t="shared" si="18"/>
        <v>0</v>
      </c>
      <c r="R84" s="45"/>
    </row>
    <row r="85" spans="1:18">
      <c r="A85" s="13" t="s">
        <v>12</v>
      </c>
      <c r="B85" s="293"/>
      <c r="C85" s="14" t="s">
        <v>13</v>
      </c>
      <c r="D85" s="15">
        <v>0</v>
      </c>
      <c r="E85" s="15">
        <f>SUM('１月:１２月'!E85)</f>
        <v>0</v>
      </c>
      <c r="F85" s="15">
        <f>SUM('１月:１２月'!F85)</f>
        <v>0</v>
      </c>
      <c r="G85" s="15">
        <f>SUM('１月:１２月'!G85)</f>
        <v>0</v>
      </c>
      <c r="H85" s="15">
        <f>SUM('１月:１２月'!H85)</f>
        <v>0</v>
      </c>
      <c r="I85" s="15">
        <f>SUM('１月:１２月'!I85)</f>
        <v>0</v>
      </c>
      <c r="J85" s="15">
        <f>SUM('１月:１２月'!J85)</f>
        <v>0</v>
      </c>
      <c r="K85" s="15">
        <f>SUM('１月:１２月'!K85)</f>
        <v>0</v>
      </c>
      <c r="L85" s="15">
        <f>SUM('１月:１２月'!L85)</f>
        <v>0</v>
      </c>
      <c r="M85" s="15">
        <f>SUM('１月:１２月'!M85)</f>
        <v>0</v>
      </c>
      <c r="N85" s="15">
        <f>SUM('１月:１２月'!N85)</f>
        <v>0</v>
      </c>
      <c r="O85" s="15">
        <f>SUM('１月:１２月'!O85)</f>
        <v>0</v>
      </c>
      <c r="P85" s="15">
        <f>SUM('１月:１２月'!P85)</f>
        <v>0</v>
      </c>
      <c r="Q85" s="16">
        <f t="shared" si="18"/>
        <v>0</v>
      </c>
      <c r="R85" s="45"/>
    </row>
    <row r="86" spans="1:18">
      <c r="A86" s="13"/>
      <c r="B86" s="17" t="s">
        <v>15</v>
      </c>
      <c r="C86" s="10" t="s">
        <v>11</v>
      </c>
      <c r="D86" s="11">
        <f>SUM('１月:１２月'!D86)</f>
        <v>50.509499999999996</v>
      </c>
      <c r="E86" s="11">
        <f>SUM('１月:１２月'!E86)</f>
        <v>91.528599999999997</v>
      </c>
      <c r="F86" s="11">
        <f>SUM('１月:１２月'!F86)</f>
        <v>142.03809999999999</v>
      </c>
      <c r="G86" s="11">
        <f>SUM('１月:１２月'!G86)</f>
        <v>39.861000000000004</v>
      </c>
      <c r="H86" s="11">
        <f>SUM('１月:１２月'!H86)</f>
        <v>1390.9982000000002</v>
      </c>
      <c r="I86" s="11">
        <f>SUM('１月:１２月'!I86)</f>
        <v>0</v>
      </c>
      <c r="J86" s="11">
        <f>SUM('１月:１２月'!J86)</f>
        <v>1390.9982000000002</v>
      </c>
      <c r="K86" s="11">
        <f>SUM('１月:１２月'!K86)</f>
        <v>34.59340000000001</v>
      </c>
      <c r="L86" s="11">
        <f>SUM('１月:１２月'!L86)</f>
        <v>40.682699999999997</v>
      </c>
      <c r="M86" s="11">
        <f>SUM('１月:１２月'!M86)</f>
        <v>2.1707999999999998</v>
      </c>
      <c r="N86" s="11">
        <f>SUM('１月:１２月'!N86)</f>
        <v>149.16827999999998</v>
      </c>
      <c r="O86" s="11">
        <f>SUM('１月:１２月'!O86)</f>
        <v>20.0504</v>
      </c>
      <c r="P86" s="11">
        <f>SUM('１月:１２月'!P86)</f>
        <v>80.136399999999995</v>
      </c>
      <c r="Q86" s="12">
        <f t="shared" si="18"/>
        <v>1899.6992800000005</v>
      </c>
      <c r="R86" s="45"/>
    </row>
    <row r="87" spans="1:18">
      <c r="A87" s="13"/>
      <c r="B87" s="14" t="s">
        <v>63</v>
      </c>
      <c r="C87" s="14" t="s">
        <v>13</v>
      </c>
      <c r="D87" s="15">
        <f>SUM('１月:１２月'!D87)</f>
        <v>37655.962744574637</v>
      </c>
      <c r="E87" s="15">
        <f>SUM('１月:１２月'!E87)</f>
        <v>44813.763000000006</v>
      </c>
      <c r="F87" s="15">
        <f>SUM('１月:１２月'!F87)</f>
        <v>82469.725744574636</v>
      </c>
      <c r="G87" s="15">
        <f>SUM('１月:１２月'!G87)</f>
        <v>29828.589</v>
      </c>
      <c r="H87" s="15">
        <f>SUM('１月:１２月'!H87)</f>
        <v>491995.38300000009</v>
      </c>
      <c r="I87" s="15">
        <f>SUM('１月:１２月'!I87)</f>
        <v>0</v>
      </c>
      <c r="J87" s="15">
        <f>SUM('１月:１２月'!J87)</f>
        <v>491995.38300000009</v>
      </c>
      <c r="K87" s="15">
        <f>SUM('１月:１２月'!K87)</f>
        <v>15570.620999999999</v>
      </c>
      <c r="L87" s="15">
        <f>SUM('１月:１２月'!L87)</f>
        <v>22493.072</v>
      </c>
      <c r="M87" s="15">
        <f>SUM('１月:１２月'!M87)</f>
        <v>869.58683999999994</v>
      </c>
      <c r="N87" s="15">
        <f>SUM('１月:１２月'!N87)</f>
        <v>60278.496000000006</v>
      </c>
      <c r="O87" s="15">
        <f>SUM('１月:１２月'!O87)</f>
        <v>13562.92</v>
      </c>
      <c r="P87" s="15">
        <f>SUM('１月:１２月'!P87)</f>
        <v>43286.653880000013</v>
      </c>
      <c r="Q87" s="16">
        <f t="shared" si="18"/>
        <v>760355.04746457492</v>
      </c>
      <c r="R87" s="45"/>
    </row>
    <row r="88" spans="1:18">
      <c r="A88" s="13" t="s">
        <v>18</v>
      </c>
      <c r="B88" s="295" t="s">
        <v>19</v>
      </c>
      <c r="C88" s="10" t="s">
        <v>11</v>
      </c>
      <c r="D88" s="11">
        <f>+D78+D80+D82+D84+D86</f>
        <v>157.00089999999997</v>
      </c>
      <c r="E88" s="11">
        <f>+E78+E80+E82+E84+E86</f>
        <v>199.57749999999999</v>
      </c>
      <c r="F88" s="11">
        <f t="shared" ref="F88:O89" si="21">+F78+F80+F82+F84+F86</f>
        <v>356.57839999999999</v>
      </c>
      <c r="G88" s="11">
        <f t="shared" si="21"/>
        <v>69.938600000000008</v>
      </c>
      <c r="H88" s="11">
        <f t="shared" si="21"/>
        <v>2191.3937000000005</v>
      </c>
      <c r="I88" s="11">
        <f t="shared" si="21"/>
        <v>0</v>
      </c>
      <c r="J88" s="11">
        <f t="shared" si="21"/>
        <v>2191.3937000000005</v>
      </c>
      <c r="K88" s="11">
        <f t="shared" si="21"/>
        <v>169.01759999999999</v>
      </c>
      <c r="L88" s="11">
        <f t="shared" si="21"/>
        <v>69.030199999999994</v>
      </c>
      <c r="M88" s="11">
        <f t="shared" si="21"/>
        <v>3.2634999999999996</v>
      </c>
      <c r="N88" s="11">
        <f t="shared" si="21"/>
        <v>377.815</v>
      </c>
      <c r="O88" s="11">
        <f t="shared" si="21"/>
        <v>93.851199999999977</v>
      </c>
      <c r="P88" s="11">
        <f t="shared" ref="P88" si="22">+P78+P80+P82+P84+P86</f>
        <v>244.09815000000003</v>
      </c>
      <c r="Q88" s="12">
        <f t="shared" si="18"/>
        <v>3574.986350000001</v>
      </c>
      <c r="R88" s="45"/>
    </row>
    <row r="89" spans="1:18">
      <c r="A89" s="18"/>
      <c r="B89" s="296"/>
      <c r="C89" s="14" t="s">
        <v>13</v>
      </c>
      <c r="D89" s="15">
        <f>+D79+D81+D83+D85+D87</f>
        <v>125955.66228563624</v>
      </c>
      <c r="E89" s="15">
        <f>+E79+E81+E83+E85+E87</f>
        <v>133269.07199999999</v>
      </c>
      <c r="F89" s="15">
        <f t="shared" si="21"/>
        <v>259224.73428563622</v>
      </c>
      <c r="G89" s="15">
        <f t="shared" si="21"/>
        <v>67234.820000000007</v>
      </c>
      <c r="H89" s="15">
        <f t="shared" si="21"/>
        <v>926883.63600000006</v>
      </c>
      <c r="I89" s="15">
        <f t="shared" si="21"/>
        <v>0</v>
      </c>
      <c r="J89" s="15">
        <f t="shared" si="21"/>
        <v>926883.63600000006</v>
      </c>
      <c r="K89" s="15">
        <f t="shared" si="21"/>
        <v>121135.068</v>
      </c>
      <c r="L89" s="15">
        <f t="shared" si="21"/>
        <v>53608.464</v>
      </c>
      <c r="M89" s="15">
        <f t="shared" si="21"/>
        <v>1498.34664</v>
      </c>
      <c r="N89" s="15">
        <f t="shared" si="21"/>
        <v>233495.48699999999</v>
      </c>
      <c r="O89" s="15">
        <f t="shared" si="21"/>
        <v>57181.654999999999</v>
      </c>
      <c r="P89" s="15">
        <f t="shared" ref="P89" si="23">+P79+P81+P83+P85+P87</f>
        <v>144370.77036000002</v>
      </c>
      <c r="Q89" s="16">
        <f t="shared" si="18"/>
        <v>1864632.9812856361</v>
      </c>
      <c r="R89" s="45"/>
    </row>
    <row r="90" spans="1:18">
      <c r="A90" s="297" t="s">
        <v>64</v>
      </c>
      <c r="B90" s="298"/>
      <c r="C90" s="10" t="s">
        <v>11</v>
      </c>
      <c r="D90" s="11">
        <f>SUM('１月:１２月'!D90)</f>
        <v>5.4928000000000008</v>
      </c>
      <c r="E90" s="11">
        <f>SUM('１月:１２月'!E90)</f>
        <v>15.337200000000001</v>
      </c>
      <c r="F90" s="11">
        <f>SUM('１月:１２月'!F90)</f>
        <v>20.83</v>
      </c>
      <c r="G90" s="11">
        <f>SUM('１月:１２月'!G90)</f>
        <v>64.198999999999998</v>
      </c>
      <c r="H90" s="11">
        <f>SUM('１月:１２月'!H90)</f>
        <v>165.06659999999997</v>
      </c>
      <c r="I90" s="11">
        <f>SUM('１月:１２月'!I90)</f>
        <v>0</v>
      </c>
      <c r="J90" s="11">
        <f>SUM('１月:１２月'!J90)</f>
        <v>165.06659999999997</v>
      </c>
      <c r="K90" s="11">
        <f>SUM('１月:１２月'!K90)</f>
        <v>35.928599999999996</v>
      </c>
      <c r="L90" s="11">
        <f>SUM('１月:１２月'!L90)</f>
        <v>55.210599999999999</v>
      </c>
      <c r="M90" s="11">
        <f>SUM('１月:１２月'!M90)</f>
        <v>0</v>
      </c>
      <c r="N90" s="11">
        <f>SUM('１月:１２月'!N90)</f>
        <v>1.7873999999999999</v>
      </c>
      <c r="O90" s="11">
        <f>SUM('１月:１２月'!O90)</f>
        <v>0.68699999999999994</v>
      </c>
      <c r="P90" s="11">
        <f>SUM('１月:１２月'!P90)</f>
        <v>6.7788999999999993</v>
      </c>
      <c r="Q90" s="12">
        <f t="shared" si="18"/>
        <v>350.48809999999997</v>
      </c>
      <c r="R90" s="45"/>
    </row>
    <row r="91" spans="1:18">
      <c r="A91" s="299"/>
      <c r="B91" s="300"/>
      <c r="C91" s="14" t="s">
        <v>13</v>
      </c>
      <c r="D91" s="15">
        <f>SUM('１月:１２月'!D91)</f>
        <v>6865.8353592875692</v>
      </c>
      <c r="E91" s="15">
        <f>SUM('１月:１２月'!E91)</f>
        <v>16362.492999999997</v>
      </c>
      <c r="F91" s="15">
        <f>SUM('１月:１２月'!F91)</f>
        <v>23228.328359287567</v>
      </c>
      <c r="G91" s="15">
        <f>SUM('１月:１２月'!G91)</f>
        <v>75024.554999999993</v>
      </c>
      <c r="H91" s="15">
        <f>SUM('１月:１２月'!H91)</f>
        <v>146815.777</v>
      </c>
      <c r="I91" s="15">
        <f>SUM('１月:１２月'!I91)</f>
        <v>0</v>
      </c>
      <c r="J91" s="15">
        <f>SUM('１月:１２月'!J91)</f>
        <v>146815.777</v>
      </c>
      <c r="K91" s="15">
        <f>SUM('１月:１２月'!K91)</f>
        <v>30890.111999999997</v>
      </c>
      <c r="L91" s="15">
        <f>SUM('１月:１２月'!L91)</f>
        <v>58760.133999999998</v>
      </c>
      <c r="M91" s="15">
        <f>SUM('１月:１２月'!M91)</f>
        <v>0</v>
      </c>
      <c r="N91" s="15">
        <f>SUM('１月:１２月'!N91)</f>
        <v>1838.0610000000001</v>
      </c>
      <c r="O91" s="15">
        <f>SUM('１月:１２月'!O91)</f>
        <v>573.601</v>
      </c>
      <c r="P91" s="15">
        <f>SUM('１月:１２月'!P91)</f>
        <v>7164.1907999999994</v>
      </c>
      <c r="Q91" s="16">
        <f t="shared" si="18"/>
        <v>344294.75915928761</v>
      </c>
      <c r="R91" s="45"/>
    </row>
    <row r="92" spans="1:18">
      <c r="A92" s="297" t="s">
        <v>65</v>
      </c>
      <c r="B92" s="298"/>
      <c r="C92" s="10" t="s">
        <v>11</v>
      </c>
      <c r="D92" s="11">
        <f>SUM('１月:１２月'!D92)</f>
        <v>0</v>
      </c>
      <c r="E92" s="11">
        <f>SUM('１月:１２月'!E92)</f>
        <v>0</v>
      </c>
      <c r="F92" s="11">
        <f>SUM('１月:１２月'!F92)</f>
        <v>0</v>
      </c>
      <c r="G92" s="11">
        <f>SUM('１月:１２月'!G92)</f>
        <v>2.5640000000000001</v>
      </c>
      <c r="H92" s="11">
        <f>SUM('１月:１２月'!H92)</f>
        <v>2985.194</v>
      </c>
      <c r="I92" s="11">
        <f>SUM('１月:１２月'!I92)</f>
        <v>0</v>
      </c>
      <c r="J92" s="11">
        <f>SUM('１月:１２月'!J92)</f>
        <v>2985.194</v>
      </c>
      <c r="K92" s="11">
        <f>SUM('１月:１２月'!K92)</f>
        <v>1104.3343</v>
      </c>
      <c r="L92" s="11">
        <f>SUM('１月:１２月'!L92)</f>
        <v>13.363699999999998</v>
      </c>
      <c r="M92" s="11">
        <f>SUM('１月:１２月'!M92)</f>
        <v>0</v>
      </c>
      <c r="N92" s="11">
        <f>SUM('１月:１２月'!N92)</f>
        <v>19.902000000000001</v>
      </c>
      <c r="O92" s="11">
        <f>SUM('１月:１２月'!O92)</f>
        <v>0</v>
      </c>
      <c r="P92" s="11">
        <f>SUM('１月:１２月'!P92)</f>
        <v>0</v>
      </c>
      <c r="Q92" s="12">
        <f t="shared" si="18"/>
        <v>4125.3580000000002</v>
      </c>
      <c r="R92" s="45"/>
    </row>
    <row r="93" spans="1:18">
      <c r="A93" s="299"/>
      <c r="B93" s="300"/>
      <c r="C93" s="14" t="s">
        <v>13</v>
      </c>
      <c r="D93" s="15">
        <v>0</v>
      </c>
      <c r="E93" s="15">
        <f>SUM('１月:１２月'!E93)</f>
        <v>0</v>
      </c>
      <c r="F93" s="15">
        <f>SUM('１月:１２月'!F93)</f>
        <v>0</v>
      </c>
      <c r="G93" s="15">
        <f>SUM('１月:１２月'!G93)</f>
        <v>339.01400000000001</v>
      </c>
      <c r="H93" s="15">
        <f>SUM('１月:１２月'!H93)</f>
        <v>385886.67099999997</v>
      </c>
      <c r="I93" s="15">
        <f>SUM('１月:１２月'!I93)</f>
        <v>0</v>
      </c>
      <c r="J93" s="15">
        <f>SUM('１月:１２月'!J93)</f>
        <v>385886.67099999997</v>
      </c>
      <c r="K93" s="15">
        <f>SUM('１月:１２月'!K93)</f>
        <v>111269.07</v>
      </c>
      <c r="L93" s="15">
        <f>SUM('１月:１２月'!L93)</f>
        <v>1528.2300000000005</v>
      </c>
      <c r="M93" s="15">
        <f>SUM('１月:１２月'!M93)</f>
        <v>0</v>
      </c>
      <c r="N93" s="15">
        <f>SUM('１月:１２月'!N93)</f>
        <v>4385.1459999999997</v>
      </c>
      <c r="O93" s="15">
        <f>SUM('１月:１２月'!O93)</f>
        <v>0</v>
      </c>
      <c r="P93" s="15">
        <f>SUM('１月:１２月'!P93)</f>
        <v>0</v>
      </c>
      <c r="Q93" s="16">
        <f t="shared" si="18"/>
        <v>503408.13099999999</v>
      </c>
      <c r="R93" s="45"/>
    </row>
    <row r="94" spans="1:18">
      <c r="A94" s="297" t="s">
        <v>66</v>
      </c>
      <c r="B94" s="298"/>
      <c r="C94" s="10" t="s">
        <v>11</v>
      </c>
      <c r="D94" s="11">
        <f>SUM('１月:１２月'!D94)</f>
        <v>0</v>
      </c>
      <c r="E94" s="11">
        <f>SUM('１月:１２月'!E94)</f>
        <v>1.2184999999999999</v>
      </c>
      <c r="F94" s="11">
        <f>SUM('１月:１２月'!F94)</f>
        <v>1.2184999999999999</v>
      </c>
      <c r="G94" s="11">
        <f>SUM('１月:１２月'!G94)</f>
        <v>1.03E-2</v>
      </c>
      <c r="H94" s="11">
        <f>SUM('１月:１２月'!H94)</f>
        <v>0.34880000000000005</v>
      </c>
      <c r="I94" s="11">
        <f>SUM('１月:１２月'!I94)</f>
        <v>0</v>
      </c>
      <c r="J94" s="11">
        <f>SUM('１月:１２月'!J94)</f>
        <v>0.34880000000000005</v>
      </c>
      <c r="K94" s="11">
        <f>SUM('１月:１２月'!K94)</f>
        <v>1.0200000000000001E-2</v>
      </c>
      <c r="L94" s="11">
        <f>SUM('１月:１２月'!L94)</f>
        <v>5.4000000000000003E-3</v>
      </c>
      <c r="M94" s="11">
        <f>SUM('１月:１２月'!M94)</f>
        <v>0</v>
      </c>
      <c r="N94" s="11">
        <f>SUM('１月:１２月'!N94)</f>
        <v>0</v>
      </c>
      <c r="O94" s="11">
        <f>SUM('１月:１２月'!O94)</f>
        <v>0</v>
      </c>
      <c r="P94" s="11">
        <f>SUM('１月:１２月'!P94)</f>
        <v>0</v>
      </c>
      <c r="Q94" s="12">
        <f t="shared" si="18"/>
        <v>1.5931999999999999</v>
      </c>
      <c r="R94" s="45"/>
    </row>
    <row r="95" spans="1:18">
      <c r="A95" s="299"/>
      <c r="B95" s="300"/>
      <c r="C95" s="14" t="s">
        <v>13</v>
      </c>
      <c r="D95" s="15">
        <f>SUM('１月:１２月'!D95)</f>
        <v>0</v>
      </c>
      <c r="E95" s="15">
        <f>SUM('１月:１２月'!E95)</f>
        <v>972.46299999999997</v>
      </c>
      <c r="F95" s="15">
        <f>SUM('１月:１２月'!F95)</f>
        <v>972.46299999999997</v>
      </c>
      <c r="G95" s="15">
        <f>SUM('１月:１２月'!G95)</f>
        <v>30.295999999999999</v>
      </c>
      <c r="H95" s="15">
        <f>SUM('１月:１２月'!H95)</f>
        <v>847.88</v>
      </c>
      <c r="I95" s="15">
        <f>SUM('１月:１２月'!I95)</f>
        <v>0</v>
      </c>
      <c r="J95" s="15">
        <f>SUM('１月:１２月'!J95)</f>
        <v>847.88</v>
      </c>
      <c r="K95" s="15">
        <f>SUM('１月:１２月'!K95)</f>
        <v>17.302</v>
      </c>
      <c r="L95" s="15">
        <f>SUM('１月:１２月'!L95)</f>
        <v>7.4629999999999992</v>
      </c>
      <c r="M95" s="15">
        <f>SUM('１月:１２月'!M95)</f>
        <v>0</v>
      </c>
      <c r="N95" s="15">
        <f>SUM('１月:１２月'!N95)</f>
        <v>0</v>
      </c>
      <c r="O95" s="15">
        <f>SUM('１月:１２月'!O95)</f>
        <v>0</v>
      </c>
      <c r="P95" s="15">
        <f>SUM('１月:１２月'!P95)</f>
        <v>0</v>
      </c>
      <c r="Q95" s="16">
        <f t="shared" si="18"/>
        <v>1875.404</v>
      </c>
      <c r="R95" s="45"/>
    </row>
    <row r="96" spans="1:18">
      <c r="A96" s="297" t="s">
        <v>67</v>
      </c>
      <c r="B96" s="298"/>
      <c r="C96" s="10" t="s">
        <v>11</v>
      </c>
      <c r="D96" s="11">
        <f>SUM('１月:１２月'!D96)</f>
        <v>1.2005000000000001</v>
      </c>
      <c r="E96" s="11">
        <f>SUM('１月:１２月'!E96)</f>
        <v>12.434100000000001</v>
      </c>
      <c r="F96" s="11">
        <f>SUM('１月:１２月'!F96)</f>
        <v>13.634599999999997</v>
      </c>
      <c r="G96" s="11">
        <f>SUM('１月:１２月'!G96)</f>
        <v>0.1331</v>
      </c>
      <c r="H96" s="11">
        <f>SUM('１月:１２月'!H96)</f>
        <v>72.119799999999984</v>
      </c>
      <c r="I96" s="11">
        <f>SUM('１月:１２月'!I96)</f>
        <v>0</v>
      </c>
      <c r="J96" s="11">
        <f>SUM('１月:１２月'!J96)</f>
        <v>72.119799999999984</v>
      </c>
      <c r="K96" s="11">
        <f>SUM('１月:１２月'!K96)</f>
        <v>0.90480000000000005</v>
      </c>
      <c r="L96" s="11">
        <f>SUM('１月:１２月'!L96)</f>
        <v>1.8E-3</v>
      </c>
      <c r="M96" s="11">
        <f>SUM('１月:１２月'!M96)</f>
        <v>0</v>
      </c>
      <c r="N96" s="11">
        <f>SUM('１月:１２月'!N96)</f>
        <v>0</v>
      </c>
      <c r="O96" s="11">
        <f>SUM('１月:１２月'!O96)</f>
        <v>0</v>
      </c>
      <c r="P96" s="11">
        <f>SUM('１月:１２月'!P96)</f>
        <v>0</v>
      </c>
      <c r="Q96" s="12">
        <f t="shared" si="18"/>
        <v>86.794099999999986</v>
      </c>
      <c r="R96" s="45"/>
    </row>
    <row r="97" spans="1:18">
      <c r="A97" s="299"/>
      <c r="B97" s="300"/>
      <c r="C97" s="14" t="s">
        <v>13</v>
      </c>
      <c r="D97" s="15">
        <f>SUM('１月:１２月'!D97)</f>
        <v>3121.4734368862105</v>
      </c>
      <c r="E97" s="15">
        <f>SUM('１月:１２月'!E97)</f>
        <v>18961.688999999998</v>
      </c>
      <c r="F97" s="15">
        <f>SUM('１月:１２月'!F97)</f>
        <v>22083.162436886207</v>
      </c>
      <c r="G97" s="15">
        <f>SUM('１月:１２月'!G97)</f>
        <v>205.36999999999998</v>
      </c>
      <c r="H97" s="15">
        <f>SUM('１月:１２月'!H97)</f>
        <v>117998.64499999999</v>
      </c>
      <c r="I97" s="15">
        <f>SUM('１月:１２月'!I97)</f>
        <v>0</v>
      </c>
      <c r="J97" s="15">
        <f>SUM('１月:１２月'!J97)</f>
        <v>117998.64499999999</v>
      </c>
      <c r="K97" s="15">
        <f>SUM('１月:１２月'!K97)</f>
        <v>572.44500000000005</v>
      </c>
      <c r="L97" s="15">
        <f>SUM('１月:１２月'!L97)</f>
        <v>3.5960000000000001</v>
      </c>
      <c r="M97" s="15">
        <f>SUM('１月:１２月'!M97)</f>
        <v>0</v>
      </c>
      <c r="N97" s="15">
        <f>SUM('１月:１２月'!N97)</f>
        <v>0</v>
      </c>
      <c r="O97" s="15">
        <f>SUM('１月:１２月'!O97)</f>
        <v>0</v>
      </c>
      <c r="P97" s="15">
        <f>SUM('１月:１２月'!P97)</f>
        <v>0</v>
      </c>
      <c r="Q97" s="16">
        <f t="shared" si="18"/>
        <v>140863.21843688618</v>
      </c>
      <c r="R97" s="45"/>
    </row>
    <row r="98" spans="1:18">
      <c r="A98" s="297" t="s">
        <v>68</v>
      </c>
      <c r="B98" s="298"/>
      <c r="C98" s="10" t="s">
        <v>11</v>
      </c>
      <c r="D98" s="11">
        <f>SUM('１月:１２月'!D98)</f>
        <v>0</v>
      </c>
      <c r="E98" s="11">
        <f>SUM('１月:１２月'!E98)</f>
        <v>0</v>
      </c>
      <c r="F98" s="11">
        <f>SUM('１月:１２月'!F98)</f>
        <v>0</v>
      </c>
      <c r="G98" s="11">
        <f>SUM('１月:１２月'!G98)</f>
        <v>2.4E-2</v>
      </c>
      <c r="H98" s="11">
        <f>SUM('１月:１２月'!H98)</f>
        <v>0.27100000000000002</v>
      </c>
      <c r="I98" s="11">
        <f>SUM('１月:１２月'!I98)</f>
        <v>0</v>
      </c>
      <c r="J98" s="11">
        <f>SUM('１月:１２月'!J98)</f>
        <v>0.27100000000000002</v>
      </c>
      <c r="K98" s="11">
        <f>SUM('１月:１２月'!K98)</f>
        <v>4.0000000000000001E-3</v>
      </c>
      <c r="L98" s="11">
        <f>SUM('１月:１２月'!L98)</f>
        <v>0.98640000000000005</v>
      </c>
      <c r="M98" s="11">
        <f>SUM('１月:１２月'!M98)</f>
        <v>0</v>
      </c>
      <c r="N98" s="11">
        <f>SUM('１月:１２月'!N98)</f>
        <v>0</v>
      </c>
      <c r="O98" s="11">
        <f>SUM('１月:１２月'!O98)</f>
        <v>0</v>
      </c>
      <c r="P98" s="11">
        <f>SUM('１月:１２月'!P98)</f>
        <v>0</v>
      </c>
      <c r="Q98" s="12">
        <f t="shared" si="18"/>
        <v>1.2854000000000001</v>
      </c>
      <c r="R98" s="45"/>
    </row>
    <row r="99" spans="1:18">
      <c r="A99" s="299"/>
      <c r="B99" s="300"/>
      <c r="C99" s="14" t="s">
        <v>13</v>
      </c>
      <c r="D99" s="15">
        <v>0</v>
      </c>
      <c r="E99" s="15">
        <f>SUM('１月:１２月'!E99)</f>
        <v>0</v>
      </c>
      <c r="F99" s="15">
        <f>SUM('１月:１２月'!F99)</f>
        <v>0</v>
      </c>
      <c r="G99" s="15">
        <f>SUM('１月:１２月'!G99)</f>
        <v>51.378999999999998</v>
      </c>
      <c r="H99" s="15">
        <f>SUM('１月:１２月'!H99)</f>
        <v>98.8</v>
      </c>
      <c r="I99" s="15">
        <f>SUM('１月:１２月'!I99)</f>
        <v>0</v>
      </c>
      <c r="J99" s="15">
        <f>SUM('１月:１２月'!J99)</f>
        <v>98.8</v>
      </c>
      <c r="K99" s="15">
        <f>SUM('１月:１２月'!K99)</f>
        <v>4.8170000000000002</v>
      </c>
      <c r="L99" s="15">
        <f>SUM('１月:１２月'!L99)</f>
        <v>611.72300000000007</v>
      </c>
      <c r="M99" s="15">
        <f>SUM('１月:１２月'!M99)</f>
        <v>0</v>
      </c>
      <c r="N99" s="15">
        <f>SUM('１月:１２月'!N99)</f>
        <v>0</v>
      </c>
      <c r="O99" s="15">
        <f>SUM('１月:１２月'!O99)</f>
        <v>0</v>
      </c>
      <c r="P99" s="15">
        <f>SUM('１月:１２月'!P99)</f>
        <v>0</v>
      </c>
      <c r="Q99" s="16">
        <f t="shared" si="18"/>
        <v>766.71900000000005</v>
      </c>
      <c r="R99" s="45"/>
    </row>
    <row r="100" spans="1:18">
      <c r="A100" s="297" t="s">
        <v>69</v>
      </c>
      <c r="B100" s="298"/>
      <c r="C100" s="10" t="s">
        <v>11</v>
      </c>
      <c r="D100" s="11">
        <f>SUM('１月:１２月'!D100)</f>
        <v>5.0200000000000002E-2</v>
      </c>
      <c r="E100" s="11">
        <f>SUM('１月:１２月'!E100)</f>
        <v>0</v>
      </c>
      <c r="F100" s="11">
        <f>SUM('１月:１２月'!F100)</f>
        <v>5.0200000000000002E-2</v>
      </c>
      <c r="G100" s="11">
        <f>SUM('１月:１２月'!G100)</f>
        <v>0.13869999999999999</v>
      </c>
      <c r="H100" s="11">
        <f>SUM('１月:１２月'!H100)</f>
        <v>0</v>
      </c>
      <c r="I100" s="11">
        <f>SUM('１月:１２月'!I100)</f>
        <v>0</v>
      </c>
      <c r="J100" s="11">
        <f>SUM('１月:１２月'!J100)</f>
        <v>0</v>
      </c>
      <c r="K100" s="11">
        <f>SUM('１月:１２月'!K100)</f>
        <v>0</v>
      </c>
      <c r="L100" s="11">
        <f>SUM('１月:１２月'!L100)</f>
        <v>0</v>
      </c>
      <c r="M100" s="11">
        <f>SUM('１月:１２月'!M100)</f>
        <v>0</v>
      </c>
      <c r="N100" s="11">
        <f>SUM('１月:１２月'!N100)</f>
        <v>0</v>
      </c>
      <c r="O100" s="11">
        <f>SUM('１月:１２月'!O100)</f>
        <v>0</v>
      </c>
      <c r="P100" s="11">
        <f>SUM('１月:１２月'!P100)</f>
        <v>0</v>
      </c>
      <c r="Q100" s="12">
        <f t="shared" si="18"/>
        <v>0.18889999999999998</v>
      </c>
      <c r="R100" s="45"/>
    </row>
    <row r="101" spans="1:18">
      <c r="A101" s="299"/>
      <c r="B101" s="300"/>
      <c r="C101" s="14" t="s">
        <v>13</v>
      </c>
      <c r="D101" s="15">
        <v>0</v>
      </c>
      <c r="E101" s="15">
        <f>SUM('１月:１２月'!E101)</f>
        <v>0</v>
      </c>
      <c r="F101" s="15">
        <f>SUM('１月:１２月'!F101)</f>
        <v>23.289005880397795</v>
      </c>
      <c r="G101" s="15">
        <f>SUM('１月:１２月'!G101)</f>
        <v>65.057999999999993</v>
      </c>
      <c r="H101" s="15">
        <f>SUM('１月:１２月'!H101)</f>
        <v>0</v>
      </c>
      <c r="I101" s="15">
        <f>SUM('１月:１２月'!I101)</f>
        <v>0</v>
      </c>
      <c r="J101" s="15">
        <f>SUM('１月:１２月'!J101)</f>
        <v>0</v>
      </c>
      <c r="K101" s="15">
        <f>SUM('１月:１２月'!K101)</f>
        <v>0</v>
      </c>
      <c r="L101" s="15">
        <f>SUM('１月:１２月'!L101)</f>
        <v>0</v>
      </c>
      <c r="M101" s="15">
        <f>SUM('１月:１２月'!M101)</f>
        <v>0</v>
      </c>
      <c r="N101" s="15">
        <f>SUM('１月:１２月'!N101)</f>
        <v>0</v>
      </c>
      <c r="O101" s="15">
        <f>SUM('１月:１２月'!O101)</f>
        <v>0</v>
      </c>
      <c r="P101" s="15">
        <f>SUM('１月:１２月'!P101)</f>
        <v>0</v>
      </c>
      <c r="Q101" s="16">
        <f t="shared" si="18"/>
        <v>88.347005880397788</v>
      </c>
      <c r="R101" s="45"/>
    </row>
    <row r="102" spans="1:18">
      <c r="A102" s="297" t="s">
        <v>70</v>
      </c>
      <c r="B102" s="298"/>
      <c r="C102" s="10" t="s">
        <v>11</v>
      </c>
      <c r="D102" s="11">
        <f>SUM('１月:１２月'!D102)</f>
        <v>40.165639999999996</v>
      </c>
      <c r="E102" s="11">
        <f>SUM('１月:１２月'!E102)</f>
        <v>7546.0554399999983</v>
      </c>
      <c r="F102" s="11">
        <f>SUM('１月:１２月'!F102)</f>
        <v>7586.2210799999993</v>
      </c>
      <c r="G102" s="11">
        <f>SUM('１月:１２月'!G102)</f>
        <v>340.6241</v>
      </c>
      <c r="H102" s="11">
        <f>SUM('１月:１２月'!H102)</f>
        <v>5752.6300199999996</v>
      </c>
      <c r="I102" s="11">
        <f>SUM('１月:１２月'!I102)</f>
        <v>0</v>
      </c>
      <c r="J102" s="11">
        <f>SUM('１月:１２月'!J102)</f>
        <v>5752.6300199999996</v>
      </c>
      <c r="K102" s="11">
        <f>SUM('１月:１２月'!K102)</f>
        <v>269.54410000000001</v>
      </c>
      <c r="L102" s="11">
        <f>SUM('１月:１２月'!L102)</f>
        <v>603.38669000000004</v>
      </c>
      <c r="M102" s="11">
        <f>SUM('１月:１２月'!M102)</f>
        <v>5.0414999999999992</v>
      </c>
      <c r="N102" s="11">
        <f>SUM('１月:１２月'!N102)</f>
        <v>282.89129999999994</v>
      </c>
      <c r="O102" s="11">
        <f>SUM('１月:１２月'!O102)</f>
        <v>33.036499999999997</v>
      </c>
      <c r="P102" s="11">
        <f>SUM('１月:１２月'!P102)</f>
        <v>65.012960000000007</v>
      </c>
      <c r="Q102" s="12">
        <f t="shared" si="18"/>
        <v>14938.388249999996</v>
      </c>
      <c r="R102" s="45"/>
    </row>
    <row r="103" spans="1:18">
      <c r="A103" s="299"/>
      <c r="B103" s="300"/>
      <c r="C103" s="14" t="s">
        <v>13</v>
      </c>
      <c r="D103" s="15">
        <f>SUM('１月:１２月'!D103)</f>
        <v>96500.806681168513</v>
      </c>
      <c r="E103" s="15">
        <f>SUM('１月:１２月'!E103)</f>
        <v>2369092.1019999995</v>
      </c>
      <c r="F103" s="15">
        <f>SUM('１月:１２月'!F103)</f>
        <v>2465592.9086811682</v>
      </c>
      <c r="G103" s="15">
        <f>SUM('１月:１２月'!G103)</f>
        <v>106387.65700000001</v>
      </c>
      <c r="H103" s="15">
        <f>SUM('１月:１２月'!H103)</f>
        <v>2647901.3130000001</v>
      </c>
      <c r="I103" s="15">
        <f>SUM('１月:１２月'!I103)</f>
        <v>0</v>
      </c>
      <c r="J103" s="15">
        <f>SUM('１月:１２月'!J103)</f>
        <v>2647901.3130000001</v>
      </c>
      <c r="K103" s="15">
        <f>SUM('１月:１２月'!K103)</f>
        <v>88072.122000000003</v>
      </c>
      <c r="L103" s="15">
        <f>SUM('１月:１２月'!L103)</f>
        <v>83586.266999999993</v>
      </c>
      <c r="M103" s="15">
        <f>SUM('１月:１２月'!M103)</f>
        <v>1830.09024</v>
      </c>
      <c r="N103" s="15">
        <f>SUM('１月:１２月'!N103)</f>
        <v>134110.07100000003</v>
      </c>
      <c r="O103" s="15">
        <f>SUM('１月:１２月'!O103)</f>
        <v>29378.248999999996</v>
      </c>
      <c r="P103" s="15">
        <f>SUM('１月:１２月'!P103)</f>
        <v>75708.925799999997</v>
      </c>
      <c r="Q103" s="16">
        <f t="shared" si="18"/>
        <v>5632567.6037211688</v>
      </c>
      <c r="R103" s="45"/>
    </row>
    <row r="104" spans="1:18">
      <c r="A104" s="301" t="s">
        <v>71</v>
      </c>
      <c r="B104" s="302"/>
      <c r="C104" s="10" t="s">
        <v>11</v>
      </c>
      <c r="D104" s="11">
        <f t="shared" ref="D104:O104" si="24">+D9+D11+D23+D29+D37+D39+D41+D43+D45+D47+D49+D51+D53+D59+D76+D88+D90+D92+D94+D96+D98+D100+D102</f>
        <v>4763.8732399999999</v>
      </c>
      <c r="E104" s="11">
        <f t="shared" si="24"/>
        <v>11620.864139999998</v>
      </c>
      <c r="F104" s="11">
        <f t="shared" si="24"/>
        <v>16384.737379999999</v>
      </c>
      <c r="G104" s="11">
        <f t="shared" si="24"/>
        <v>75655.001899999988</v>
      </c>
      <c r="H104" s="11">
        <f t="shared" si="24"/>
        <v>90290.095819999988</v>
      </c>
      <c r="I104" s="11">
        <f t="shared" si="24"/>
        <v>0</v>
      </c>
      <c r="J104" s="11">
        <f t="shared" si="24"/>
        <v>90290.095819999988</v>
      </c>
      <c r="K104" s="11">
        <f t="shared" si="24"/>
        <v>48271.2647</v>
      </c>
      <c r="L104" s="11">
        <f t="shared" si="24"/>
        <v>4300.0795699999999</v>
      </c>
      <c r="M104" s="11">
        <f t="shared" si="24"/>
        <v>8.3184999999999985</v>
      </c>
      <c r="N104" s="11">
        <f t="shared" si="24"/>
        <v>941.5027</v>
      </c>
      <c r="O104" s="11">
        <f t="shared" si="24"/>
        <v>130.04239999999996</v>
      </c>
      <c r="P104" s="11">
        <f t="shared" ref="P104" si="25">+P9+P11+P23+P29+P37+P39+P41+P43+P45+P47+P49+P51+P53+P59+P76+P88+P90+P92+P94+P96+P98+P100+P102</f>
        <v>399.90893000000005</v>
      </c>
      <c r="Q104" s="12">
        <f t="shared" si="18"/>
        <v>236380.95189999999</v>
      </c>
      <c r="R104" s="45"/>
    </row>
    <row r="105" spans="1:18">
      <c r="A105" s="303"/>
      <c r="B105" s="304"/>
      <c r="C105" s="14" t="s">
        <v>13</v>
      </c>
      <c r="D105" s="15">
        <f t="shared" ref="D105:O105" si="26">+D10+D12+D24+D30+D38+D40+D42+D44+D46+D48+D50+D52+D54+D60+D77+D89+D91+D93+D95+D97+D99+D101+D103</f>
        <v>3254242.2092638463</v>
      </c>
      <c r="E105" s="15">
        <f t="shared" si="26"/>
        <v>4748241.2280000001</v>
      </c>
      <c r="F105" s="15">
        <f t="shared" si="26"/>
        <v>8002587.3902715677</v>
      </c>
      <c r="G105" s="15">
        <f t="shared" si="26"/>
        <v>16709172.356999999</v>
      </c>
      <c r="H105" s="15">
        <f t="shared" si="26"/>
        <v>14774414.993000004</v>
      </c>
      <c r="I105" s="15">
        <f t="shared" si="26"/>
        <v>0</v>
      </c>
      <c r="J105" s="15">
        <f t="shared" si="26"/>
        <v>14774414.993000004</v>
      </c>
      <c r="K105" s="15">
        <f t="shared" si="26"/>
        <v>8253565.4770000009</v>
      </c>
      <c r="L105" s="15">
        <f t="shared" si="26"/>
        <v>1724287.1949999998</v>
      </c>
      <c r="M105" s="15">
        <f t="shared" si="26"/>
        <v>3337.9948800000002</v>
      </c>
      <c r="N105" s="15">
        <f t="shared" si="26"/>
        <v>474867.68599999999</v>
      </c>
      <c r="O105" s="15">
        <f t="shared" si="26"/>
        <v>87718.214000000007</v>
      </c>
      <c r="P105" s="15">
        <f t="shared" ref="P105" si="27">+P10+P12+P24+P30+P38+P40+P42+P44+P46+P48+P50+P52+P54+P60+P77+P89+P91+P93+P95+P97+P99+P101+P103</f>
        <v>257406.94708000004</v>
      </c>
      <c r="Q105" s="16">
        <f t="shared" si="18"/>
        <v>50287358.254231565</v>
      </c>
      <c r="R105" s="45"/>
    </row>
    <row r="106" spans="1:18">
      <c r="A106" s="9" t="s">
        <v>0</v>
      </c>
      <c r="B106" s="292" t="s">
        <v>72</v>
      </c>
      <c r="C106" s="10" t="s">
        <v>11</v>
      </c>
      <c r="D106" s="11">
        <f>SUM('１月:１２月'!D106)</f>
        <v>0</v>
      </c>
      <c r="E106" s="11">
        <f>SUM('１月:１２月'!E106)</f>
        <v>0</v>
      </c>
      <c r="F106" s="11">
        <f>SUM('１月:１２月'!F106)</f>
        <v>0</v>
      </c>
      <c r="G106" s="11">
        <f>SUM('１月:１２月'!G106)</f>
        <v>3.1230000000000002</v>
      </c>
      <c r="H106" s="11">
        <f>SUM('１月:１２月'!H106)</f>
        <v>9.398200000000001</v>
      </c>
      <c r="I106" s="11">
        <f>SUM('１月:１２月'!I106)</f>
        <v>0</v>
      </c>
      <c r="J106" s="11">
        <f>SUM('１月:１２月'!J106)</f>
        <v>9.398200000000001</v>
      </c>
      <c r="K106" s="11">
        <f>SUM('１月:１２月'!K106)</f>
        <v>0.72760000000000014</v>
      </c>
      <c r="L106" s="11">
        <f>SUM('１月:１２月'!L106)</f>
        <v>0</v>
      </c>
      <c r="M106" s="11">
        <f>SUM('１月:１２月'!M106)</f>
        <v>0</v>
      </c>
      <c r="N106" s="11">
        <f>SUM('１月:１２月'!N106)</f>
        <v>0</v>
      </c>
      <c r="O106" s="11">
        <f>SUM('１月:１２月'!O106)</f>
        <v>0</v>
      </c>
      <c r="P106" s="11">
        <f>SUM('１月:１２月'!P106)</f>
        <v>0</v>
      </c>
      <c r="Q106" s="12">
        <f t="shared" si="18"/>
        <v>13.248800000000001</v>
      </c>
      <c r="R106" s="45"/>
    </row>
    <row r="107" spans="1:18">
      <c r="A107" s="9" t="s">
        <v>0</v>
      </c>
      <c r="B107" s="293"/>
      <c r="C107" s="14" t="s">
        <v>13</v>
      </c>
      <c r="D107" s="15">
        <v>0</v>
      </c>
      <c r="E107" s="15">
        <f>SUM('１月:１２月'!E107)</f>
        <v>0</v>
      </c>
      <c r="F107" s="15">
        <f>SUM('１月:１２月'!F107)</f>
        <v>0</v>
      </c>
      <c r="G107" s="15">
        <f>SUM('１月:１２月'!G107)</f>
        <v>1174.4580000000001</v>
      </c>
      <c r="H107" s="15">
        <f>SUM('１月:１２月'!H107)</f>
        <v>26321.146000000001</v>
      </c>
      <c r="I107" s="15">
        <f>SUM('１月:１２月'!I107)</f>
        <v>0</v>
      </c>
      <c r="J107" s="15">
        <f>SUM('１月:１２月'!J107)</f>
        <v>26321.146000000001</v>
      </c>
      <c r="K107" s="15">
        <f>SUM('１月:１２月'!K107)</f>
        <v>2549.4940000000001</v>
      </c>
      <c r="L107" s="15">
        <f>SUM('１月:１２月'!L107)</f>
        <v>0</v>
      </c>
      <c r="M107" s="15">
        <f>SUM('１月:１２月'!M107)</f>
        <v>0</v>
      </c>
      <c r="N107" s="15">
        <f>SUM('１月:１２月'!N107)</f>
        <v>0</v>
      </c>
      <c r="O107" s="15">
        <f>SUM('１月:１２月'!O107)</f>
        <v>7843.6350000000002</v>
      </c>
      <c r="P107" s="15">
        <f>SUM('１月:１２月'!P107)</f>
        <v>0</v>
      </c>
      <c r="Q107" s="16">
        <f t="shared" si="18"/>
        <v>37888.733</v>
      </c>
      <c r="R107" s="45"/>
    </row>
    <row r="108" spans="1:18">
      <c r="A108" s="13" t="s">
        <v>73</v>
      </c>
      <c r="B108" s="292" t="s">
        <v>74</v>
      </c>
      <c r="C108" s="10" t="s">
        <v>11</v>
      </c>
      <c r="D108" s="11">
        <f>SUM('１月:１２月'!D108)</f>
        <v>16.388799999999996</v>
      </c>
      <c r="E108" s="11">
        <f>SUM('１月:１２月'!E108)</f>
        <v>6.4091000000000005</v>
      </c>
      <c r="F108" s="11">
        <f>SUM('１月:１２月'!F108)</f>
        <v>22.797899999999998</v>
      </c>
      <c r="G108" s="11">
        <f>SUM('１月:１２月'!G108)</f>
        <v>67.520699999999991</v>
      </c>
      <c r="H108" s="11">
        <f>SUM('１月:１２月'!H108)</f>
        <v>324.51400000000001</v>
      </c>
      <c r="I108" s="11">
        <f>SUM('１月:１２月'!I108)</f>
        <v>0</v>
      </c>
      <c r="J108" s="11">
        <f>SUM('１月:１２月'!J108)</f>
        <v>324.51400000000001</v>
      </c>
      <c r="K108" s="11">
        <f>SUM('１月:１２月'!K108)</f>
        <v>89.259100000000004</v>
      </c>
      <c r="L108" s="11">
        <f>SUM('１月:１２月'!L108)</f>
        <v>181.77659999999997</v>
      </c>
      <c r="M108" s="11">
        <f>SUM('１月:１２月'!M108)</f>
        <v>0</v>
      </c>
      <c r="N108" s="11">
        <f>SUM('１月:１２月'!N108)</f>
        <v>1.0895999999999999</v>
      </c>
      <c r="O108" s="11">
        <f>SUM('１月:１２月'!O108)</f>
        <v>19.5578</v>
      </c>
      <c r="P108" s="11">
        <f>SUM('１月:１２月'!P108)</f>
        <v>8.2410000000000014</v>
      </c>
      <c r="Q108" s="12">
        <f t="shared" si="18"/>
        <v>714.75670000000002</v>
      </c>
      <c r="R108" s="45"/>
    </row>
    <row r="109" spans="1:18">
      <c r="A109" s="13" t="s">
        <v>0</v>
      </c>
      <c r="B109" s="293"/>
      <c r="C109" s="14" t="s">
        <v>13</v>
      </c>
      <c r="D109" s="15">
        <f>SUM('１月:１２月'!D109)</f>
        <v>10251.20061757521</v>
      </c>
      <c r="E109" s="15">
        <f>SUM('１月:１２月'!E109)</f>
        <v>4075.8940000000002</v>
      </c>
      <c r="F109" s="15">
        <f>SUM('１月:１２月'!F109)</f>
        <v>14327.094617575211</v>
      </c>
      <c r="G109" s="15">
        <f>SUM('１月:１２月'!G109)</f>
        <v>47735.955999999991</v>
      </c>
      <c r="H109" s="15">
        <f>SUM('１月:１２月'!H109)</f>
        <v>135164.606</v>
      </c>
      <c r="I109" s="15">
        <f>SUM('１月:１２月'!I109)</f>
        <v>0</v>
      </c>
      <c r="J109" s="15">
        <f>SUM('１月:１２月'!J109)</f>
        <v>135164.606</v>
      </c>
      <c r="K109" s="15">
        <f>SUM('１月:１２月'!K109)</f>
        <v>42493.128000000012</v>
      </c>
      <c r="L109" s="15">
        <f>SUM('１月:１２月'!L109)</f>
        <v>100523.35200000001</v>
      </c>
      <c r="M109" s="15">
        <f>SUM('１月:１２月'!M109)</f>
        <v>0</v>
      </c>
      <c r="N109" s="15">
        <f>SUM('１月:１２月'!N109)</f>
        <v>401.971</v>
      </c>
      <c r="O109" s="15">
        <f>SUM('１月:１２月'!O109)</f>
        <v>10252.837</v>
      </c>
      <c r="P109" s="15">
        <f>SUM('１月:１２月'!P109)</f>
        <v>4676.1458000000011</v>
      </c>
      <c r="Q109" s="16">
        <f t="shared" si="18"/>
        <v>355575.09041757527</v>
      </c>
      <c r="R109" s="45"/>
    </row>
    <row r="110" spans="1:18">
      <c r="A110" s="13" t="s">
        <v>0</v>
      </c>
      <c r="B110" s="292" t="s">
        <v>75</v>
      </c>
      <c r="C110" s="10" t="s">
        <v>11</v>
      </c>
      <c r="D110" s="11">
        <f>SUM('１月:１２月'!D110)</f>
        <v>21.633099999999999</v>
      </c>
      <c r="E110" s="11">
        <f>SUM('１月:１２月'!E110)</f>
        <v>1369.7696999999998</v>
      </c>
      <c r="F110" s="11">
        <f>SUM('１月:１２月'!F110)</f>
        <v>1391.4028000000001</v>
      </c>
      <c r="G110" s="11">
        <f>SUM('１月:１２月'!G110)</f>
        <v>139.7816</v>
      </c>
      <c r="H110" s="11">
        <f>SUM('１月:１２月'!H110)</f>
        <v>6110.8035</v>
      </c>
      <c r="I110" s="11">
        <f>SUM('１月:１２月'!I110)</f>
        <v>0</v>
      </c>
      <c r="J110" s="11">
        <f>SUM('１月:１２月'!J110)</f>
        <v>6110.8035</v>
      </c>
      <c r="K110" s="11">
        <f>SUM('１月:１２月'!K110)</f>
        <v>734.71360000000004</v>
      </c>
      <c r="L110" s="11">
        <f>SUM('１月:１２月'!L110)</f>
        <v>15.7057</v>
      </c>
      <c r="M110" s="11">
        <f>SUM('１月:１２月'!M110)</f>
        <v>0</v>
      </c>
      <c r="N110" s="11">
        <f>SUM('１月:１２月'!N110)</f>
        <v>0.61529999999999996</v>
      </c>
      <c r="O110" s="11">
        <f>SUM('１月:１２月'!O110)</f>
        <v>0</v>
      </c>
      <c r="P110" s="11">
        <f>SUM('１月:１２月'!P110)</f>
        <v>0</v>
      </c>
      <c r="Q110" s="12">
        <f t="shared" si="18"/>
        <v>8393.0224999999991</v>
      </c>
      <c r="R110" s="45"/>
    </row>
    <row r="111" spans="1:18">
      <c r="A111" s="13"/>
      <c r="B111" s="293"/>
      <c r="C111" s="14" t="s">
        <v>13</v>
      </c>
      <c r="D111" s="15">
        <f>SUM('１月:１２月'!D111)</f>
        <v>10017.73394499612</v>
      </c>
      <c r="E111" s="15">
        <f>SUM('１月:１２月'!E111)</f>
        <v>296080.05600000004</v>
      </c>
      <c r="F111" s="15">
        <f>SUM('１月:１２月'!F111)</f>
        <v>306097.78994499613</v>
      </c>
      <c r="G111" s="15">
        <f>SUM('１月:１２月'!G111)</f>
        <v>60581.047999999995</v>
      </c>
      <c r="H111" s="15">
        <f>SUM('１月:１２月'!H111)</f>
        <v>1545160.679</v>
      </c>
      <c r="I111" s="15">
        <f>SUM('１月:１２月'!I111)</f>
        <v>0</v>
      </c>
      <c r="J111" s="15">
        <f>SUM('１月:１２月'!J111)</f>
        <v>1545160.679</v>
      </c>
      <c r="K111" s="15">
        <f>SUM('１月:１２月'!K111)</f>
        <v>173553.38399999999</v>
      </c>
      <c r="L111" s="15">
        <f>SUM('１月:１２月'!L111)</f>
        <v>6651.6860000000006</v>
      </c>
      <c r="M111" s="15">
        <f>SUM('１月:１２月'!M111)</f>
        <v>0</v>
      </c>
      <c r="N111" s="15">
        <f>SUM('１月:１２月'!N111)</f>
        <v>143.51400000000001</v>
      </c>
      <c r="O111" s="15">
        <f>SUM('１月:１２月'!O111)</f>
        <v>0</v>
      </c>
      <c r="P111" s="15">
        <f>SUM('１月:１２月'!P111)</f>
        <v>0</v>
      </c>
      <c r="Q111" s="16">
        <f t="shared" si="18"/>
        <v>2092188.1009449961</v>
      </c>
      <c r="R111" s="45"/>
    </row>
    <row r="112" spans="1:18">
      <c r="A112" s="13" t="s">
        <v>76</v>
      </c>
      <c r="B112" s="292" t="s">
        <v>77</v>
      </c>
      <c r="C112" s="10" t="s">
        <v>11</v>
      </c>
      <c r="D112" s="11">
        <f>SUM('１月:１２月'!D112)</f>
        <v>6.2900000000000011E-2</v>
      </c>
      <c r="E112" s="11">
        <f>SUM('１月:１２月'!E112)</f>
        <v>1.8205999999999998</v>
      </c>
      <c r="F112" s="11">
        <f>SUM('１月:１２月'!F112)</f>
        <v>1.8835</v>
      </c>
      <c r="G112" s="11">
        <f>SUM('１月:１２月'!G112)</f>
        <v>0.38280000000000003</v>
      </c>
      <c r="H112" s="11">
        <f>SUM('１月:１２月'!H112)</f>
        <v>24.215900000000005</v>
      </c>
      <c r="I112" s="11">
        <f>SUM('１月:１２月'!I112)</f>
        <v>0</v>
      </c>
      <c r="J112" s="11">
        <f>SUM('１月:１２月'!J112)</f>
        <v>24.215900000000005</v>
      </c>
      <c r="K112" s="11">
        <f>SUM('１月:１２月'!K112)</f>
        <v>0.22900000000000004</v>
      </c>
      <c r="L112" s="11">
        <f>SUM('１月:１２月'!L112)</f>
        <v>0.18340000000000001</v>
      </c>
      <c r="M112" s="11">
        <f>SUM('１月:１２月'!M112)</f>
        <v>5.4000000000000003E-3</v>
      </c>
      <c r="N112" s="11">
        <f>SUM('１月:１２月'!N112)</f>
        <v>1.32E-2</v>
      </c>
      <c r="O112" s="11">
        <f>SUM('１月:１２月'!O112)</f>
        <v>0</v>
      </c>
      <c r="P112" s="11">
        <f>SUM('１月:１２月'!P112)</f>
        <v>2.1840999999999999</v>
      </c>
      <c r="Q112" s="12">
        <f t="shared" si="18"/>
        <v>29.097300000000008</v>
      </c>
      <c r="R112" s="45"/>
    </row>
    <row r="113" spans="1:18">
      <c r="A113" s="13"/>
      <c r="B113" s="293"/>
      <c r="C113" s="14" t="s">
        <v>13</v>
      </c>
      <c r="D113" s="15">
        <f>SUM('１月:１２月'!D113)</f>
        <v>236.94119905770742</v>
      </c>
      <c r="E113" s="15">
        <f>SUM('１月:１２月'!E113)</f>
        <v>4370.0029999999997</v>
      </c>
      <c r="F113" s="15">
        <f>SUM('１月:１２月'!F113)</f>
        <v>4606.9441990577079</v>
      </c>
      <c r="G113" s="15">
        <f>SUM('１月:１２月'!G113)</f>
        <v>435.36400000000003</v>
      </c>
      <c r="H113" s="15">
        <f>SUM('１月:１２月'!H113)</f>
        <v>45751.158000000003</v>
      </c>
      <c r="I113" s="15">
        <f>SUM('１月:１２月'!I113)</f>
        <v>0</v>
      </c>
      <c r="J113" s="15">
        <f>SUM('１月:１２月'!J113)</f>
        <v>45751.158000000003</v>
      </c>
      <c r="K113" s="15">
        <f>SUM('１月:１２月'!K113)</f>
        <v>355.00700000000001</v>
      </c>
      <c r="L113" s="15">
        <f>SUM('１月:１２月'!L113)</f>
        <v>166.35299999999998</v>
      </c>
      <c r="M113" s="15">
        <f>SUM('１月:１２月'!M113)</f>
        <v>3.6352800000000003</v>
      </c>
      <c r="N113" s="15">
        <f>SUM('１月:１２月'!N113)</f>
        <v>5.8220000000000001</v>
      </c>
      <c r="O113" s="15">
        <f>SUM('１月:１２月'!O113)</f>
        <v>0</v>
      </c>
      <c r="P113" s="15">
        <f>SUM('１月:１２月'!P113)</f>
        <v>2623.4926</v>
      </c>
      <c r="Q113" s="16">
        <f t="shared" si="18"/>
        <v>53947.776079057716</v>
      </c>
      <c r="R113" s="45"/>
    </row>
    <row r="114" spans="1:18">
      <c r="A114" s="13"/>
      <c r="B114" s="292" t="s">
        <v>78</v>
      </c>
      <c r="C114" s="10" t="s">
        <v>11</v>
      </c>
      <c r="D114" s="11">
        <f>SUM('１月:１２月'!D114)</f>
        <v>6.1668000000000003</v>
      </c>
      <c r="E114" s="11">
        <f>SUM('１月:１２月'!E114)</f>
        <v>8.2467000000000006</v>
      </c>
      <c r="F114" s="11">
        <f>SUM('１月:１２月'!F114)</f>
        <v>14.413499999999999</v>
      </c>
      <c r="G114" s="11">
        <f>SUM('１月:１２月'!G114)</f>
        <v>10.8718</v>
      </c>
      <c r="H114" s="11">
        <f>SUM('１月:１２月'!H114)</f>
        <v>27.159400000000002</v>
      </c>
      <c r="I114" s="11">
        <f>SUM('１月:１２月'!I114)</f>
        <v>0</v>
      </c>
      <c r="J114" s="11">
        <f>SUM('１月:１２月'!J114)</f>
        <v>27.159400000000002</v>
      </c>
      <c r="K114" s="11">
        <f>SUM('１月:１２月'!K114)</f>
        <v>3.3331000000000004</v>
      </c>
      <c r="L114" s="11">
        <f>SUM('１月:１２月'!L114)</f>
        <v>12.652899999999997</v>
      </c>
      <c r="M114" s="11">
        <f>SUM('１月:１２月'!M114)</f>
        <v>3.6880999999999999</v>
      </c>
      <c r="N114" s="11">
        <f>SUM('１月:１２月'!N114)</f>
        <v>18.007370000000002</v>
      </c>
      <c r="O114" s="11">
        <f>SUM('１月:１２月'!O114)</f>
        <v>2.9580000000000002</v>
      </c>
      <c r="P114" s="11">
        <f>SUM('１月:１２月'!P114)</f>
        <v>54.956040000000002</v>
      </c>
      <c r="Q114" s="12">
        <f t="shared" si="18"/>
        <v>148.04021</v>
      </c>
      <c r="R114" s="45"/>
    </row>
    <row r="115" spans="1:18">
      <c r="A115" s="13"/>
      <c r="B115" s="293"/>
      <c r="C115" s="14" t="s">
        <v>13</v>
      </c>
      <c r="D115" s="15">
        <f>SUM('１月:１２月'!D115)</f>
        <v>5540.2595991965809</v>
      </c>
      <c r="E115" s="15">
        <f>SUM('１月:１２月'!E115)</f>
        <v>4965.1250000000009</v>
      </c>
      <c r="F115" s="15">
        <f>SUM('１月:１２月'!F115)</f>
        <v>10505.384599196581</v>
      </c>
      <c r="G115" s="15">
        <f>SUM('１月:１２月'!G115)</f>
        <v>10328.984</v>
      </c>
      <c r="H115" s="15">
        <f>SUM('１月:１２月'!H115)</f>
        <v>33787.108</v>
      </c>
      <c r="I115" s="15">
        <f>SUM('１月:１２月'!I115)</f>
        <v>0</v>
      </c>
      <c r="J115" s="15">
        <f>SUM('１月:１２月'!J115)</f>
        <v>33787.108</v>
      </c>
      <c r="K115" s="15">
        <f>SUM('１月:１２月'!K115)</f>
        <v>2334.9340000000002</v>
      </c>
      <c r="L115" s="15">
        <f>SUM('１月:１２月'!L115)</f>
        <v>6121.5260000000017</v>
      </c>
      <c r="M115" s="15">
        <f>SUM('１月:１２月'!M115)</f>
        <v>972.05832000000009</v>
      </c>
      <c r="N115" s="15">
        <f>SUM('１月:１２月'!N115)</f>
        <v>9496.384</v>
      </c>
      <c r="O115" s="15">
        <f>SUM('１月:１２月'!O115)</f>
        <v>898.71300000000008</v>
      </c>
      <c r="P115" s="15">
        <f>SUM('１月:１２月'!P115)</f>
        <v>29189.203319999997</v>
      </c>
      <c r="Q115" s="16">
        <f t="shared" si="18"/>
        <v>103634.2952391966</v>
      </c>
      <c r="R115" s="45"/>
    </row>
    <row r="116" spans="1:18">
      <c r="A116" s="13" t="s">
        <v>79</v>
      </c>
      <c r="B116" s="292" t="s">
        <v>80</v>
      </c>
      <c r="C116" s="10" t="s">
        <v>11</v>
      </c>
      <c r="D116" s="11">
        <f>SUM('１月:１２月'!D116)</f>
        <v>0</v>
      </c>
      <c r="E116" s="11">
        <f>SUM('１月:１２月'!E116)</f>
        <v>0</v>
      </c>
      <c r="F116" s="11">
        <f>SUM('１月:１２月'!F116)</f>
        <v>0</v>
      </c>
      <c r="G116" s="11">
        <f>SUM('１月:１２月'!G116)</f>
        <v>2874.75</v>
      </c>
      <c r="H116" s="11">
        <f>SUM('１月:１２月'!H116)</f>
        <v>0</v>
      </c>
      <c r="I116" s="11">
        <f>SUM('１月:１２月'!I116)</f>
        <v>0</v>
      </c>
      <c r="J116" s="11">
        <f>SUM('１月:１２月'!J116)</f>
        <v>0</v>
      </c>
      <c r="K116" s="11">
        <f>SUM('１月:１２月'!K116)</f>
        <v>5221.9500000000007</v>
      </c>
      <c r="L116" s="11">
        <f>SUM('１月:１２月'!L116)</f>
        <v>2593.8000000000002</v>
      </c>
      <c r="M116" s="11">
        <f>SUM('１月:１２月'!M116)</f>
        <v>0</v>
      </c>
      <c r="N116" s="11">
        <f>SUM('１月:１２月'!N116)</f>
        <v>0</v>
      </c>
      <c r="O116" s="11">
        <f>SUM('１月:１２月'!O116)</f>
        <v>0</v>
      </c>
      <c r="P116" s="11">
        <f>SUM('１月:１２月'!P116)</f>
        <v>0</v>
      </c>
      <c r="Q116" s="12">
        <f t="shared" si="18"/>
        <v>10690.5</v>
      </c>
      <c r="R116" s="45"/>
    </row>
    <row r="117" spans="1:18">
      <c r="A117" s="13"/>
      <c r="B117" s="293"/>
      <c r="C117" s="14" t="s">
        <v>13</v>
      </c>
      <c r="D117" s="15">
        <v>0</v>
      </c>
      <c r="E117" s="15">
        <f>SUM('１月:１２月'!E117)</f>
        <v>0</v>
      </c>
      <c r="F117" s="15">
        <f>SUM('１月:１２月'!F117)</f>
        <v>0</v>
      </c>
      <c r="G117" s="15">
        <f>SUM('１月:１２月'!G117)</f>
        <v>140067.12400000001</v>
      </c>
      <c r="H117" s="15">
        <f>SUM('１月:１２月'!H117)</f>
        <v>0</v>
      </c>
      <c r="I117" s="15">
        <f>SUM('１月:１２月'!I117)</f>
        <v>0</v>
      </c>
      <c r="J117" s="15">
        <f>SUM('１月:１２月'!J117)</f>
        <v>0</v>
      </c>
      <c r="K117" s="15">
        <f>SUM('１月:１２月'!K117)</f>
        <v>264918.63900000002</v>
      </c>
      <c r="L117" s="15">
        <f>SUM('１月:１２月'!L117)</f>
        <v>118212.03199999999</v>
      </c>
      <c r="M117" s="15">
        <f>SUM('１月:１２月'!M117)</f>
        <v>0</v>
      </c>
      <c r="N117" s="15">
        <f>SUM('１月:１２月'!N117)</f>
        <v>0</v>
      </c>
      <c r="O117" s="15">
        <f>SUM('１月:１２月'!O117)</f>
        <v>0</v>
      </c>
      <c r="P117" s="15">
        <f>SUM('１月:１２月'!P117)</f>
        <v>0</v>
      </c>
      <c r="Q117" s="16">
        <f t="shared" si="18"/>
        <v>523197.79500000004</v>
      </c>
      <c r="R117" s="45"/>
    </row>
    <row r="118" spans="1:18">
      <c r="A118" s="13"/>
      <c r="B118" s="292" t="s">
        <v>81</v>
      </c>
      <c r="C118" s="10" t="s">
        <v>11</v>
      </c>
      <c r="D118" s="11">
        <f>SUM('１月:１２月'!D118)</f>
        <v>0.19619999999999999</v>
      </c>
      <c r="E118" s="11">
        <f>SUM('１月:１２月'!E118)</f>
        <v>0.35589999999999999</v>
      </c>
      <c r="F118" s="11">
        <f>SUM('１月:１２月'!F118)</f>
        <v>0.55210000000000004</v>
      </c>
      <c r="G118" s="11">
        <f>SUM('１月:１２月'!G118)</f>
        <v>1.1021000000000001</v>
      </c>
      <c r="H118" s="11">
        <f>SUM('１月:１２月'!H118)</f>
        <v>43.553200000000004</v>
      </c>
      <c r="I118" s="11">
        <f>SUM('１月:１２月'!I118)</f>
        <v>0</v>
      </c>
      <c r="J118" s="11">
        <f>SUM('１月:１２月'!J118)</f>
        <v>43.553200000000004</v>
      </c>
      <c r="K118" s="11">
        <f>SUM('１月:１２月'!K118)</f>
        <v>0.61970000000000003</v>
      </c>
      <c r="L118" s="11">
        <f>SUM('１月:１２月'!L118)</f>
        <v>7.0000000000000001E-3</v>
      </c>
      <c r="M118" s="11">
        <f>SUM('１月:１２月'!M118)</f>
        <v>0</v>
      </c>
      <c r="N118" s="11">
        <f>SUM('１月:１２月'!N118)</f>
        <v>0</v>
      </c>
      <c r="O118" s="11">
        <f>SUM('１月:１２月'!O118)</f>
        <v>0</v>
      </c>
      <c r="P118" s="11">
        <f>SUM('１月:１２月'!P118)</f>
        <v>0.62719999999999998</v>
      </c>
      <c r="Q118" s="12">
        <f t="shared" si="18"/>
        <v>46.461300000000008</v>
      </c>
      <c r="R118" s="45"/>
    </row>
    <row r="119" spans="1:18">
      <c r="A119" s="13"/>
      <c r="B119" s="293"/>
      <c r="C119" s="14" t="s">
        <v>13</v>
      </c>
      <c r="D119" s="15">
        <f>SUM('１月:１２月'!D119)</f>
        <v>214.20631316295987</v>
      </c>
      <c r="E119" s="15">
        <f>SUM('１月:１２月'!E119)</f>
        <v>340.35500000000002</v>
      </c>
      <c r="F119" s="15">
        <f>SUM('１月:１２月'!F119)</f>
        <v>554.56131316295978</v>
      </c>
      <c r="G119" s="15">
        <f>SUM('１月:１２月'!G119)</f>
        <v>1127.771</v>
      </c>
      <c r="H119" s="15">
        <f>SUM('１月:１２月'!H119)</f>
        <v>91090.845000000001</v>
      </c>
      <c r="I119" s="15">
        <f>SUM('１月:１２月'!I119)</f>
        <v>0</v>
      </c>
      <c r="J119" s="15">
        <f>SUM('１月:１２月'!J119)</f>
        <v>91090.845000000001</v>
      </c>
      <c r="K119" s="15">
        <f>SUM('１月:１２月'!K119)</f>
        <v>459.76800000000003</v>
      </c>
      <c r="L119" s="15">
        <f>SUM('１月:１２月'!L119)</f>
        <v>6.93</v>
      </c>
      <c r="M119" s="15">
        <f>SUM('１月:１２月'!M119)</f>
        <v>0</v>
      </c>
      <c r="N119" s="15">
        <f>SUM('１月:１２月'!N119)</f>
        <v>0</v>
      </c>
      <c r="O119" s="15">
        <f>SUM('１月:１２月'!O119)</f>
        <v>0</v>
      </c>
      <c r="P119" s="15">
        <f>SUM('１月:１２月'!P119)</f>
        <v>1236.1157600000001</v>
      </c>
      <c r="Q119" s="16">
        <f t="shared" si="18"/>
        <v>94475.99107316295</v>
      </c>
      <c r="R119" s="45"/>
    </row>
    <row r="120" spans="1:18">
      <c r="A120" s="13" t="s">
        <v>82</v>
      </c>
      <c r="B120" s="292" t="s">
        <v>83</v>
      </c>
      <c r="C120" s="10" t="s">
        <v>11</v>
      </c>
      <c r="D120" s="11">
        <f>SUM('１月:１２月'!D120)</f>
        <v>7.2935999999999996</v>
      </c>
      <c r="E120" s="11">
        <f>SUM('１月:１２月'!E120)</f>
        <v>12.069500000000001</v>
      </c>
      <c r="F120" s="11">
        <f>SUM('１月:１２月'!F120)</f>
        <v>19.363099999999999</v>
      </c>
      <c r="G120" s="11">
        <f>SUM('１月:１２月'!G120)</f>
        <v>5.5800000000000002E-2</v>
      </c>
      <c r="H120" s="11">
        <f>SUM('１月:１２月'!H120)</f>
        <v>7.9387000000000008</v>
      </c>
      <c r="I120" s="11">
        <f>SUM('１月:１２月'!I120)</f>
        <v>0</v>
      </c>
      <c r="J120" s="11">
        <f>SUM('１月:１２月'!J120)</f>
        <v>7.9387000000000008</v>
      </c>
      <c r="K120" s="11">
        <f>SUM('１月:１２月'!K120)</f>
        <v>14.449</v>
      </c>
      <c r="L120" s="11">
        <f>SUM('１月:１２月'!L120)</f>
        <v>0</v>
      </c>
      <c r="M120" s="11">
        <f>SUM('１月:１２月'!M120)</f>
        <v>0</v>
      </c>
      <c r="N120" s="11">
        <f>SUM('１月:１２月'!N120)</f>
        <v>0</v>
      </c>
      <c r="O120" s="11">
        <f>SUM('１月:１２月'!O120)</f>
        <v>0</v>
      </c>
      <c r="P120" s="11">
        <f>SUM('１月:１２月'!P120)</f>
        <v>0</v>
      </c>
      <c r="Q120" s="12">
        <f t="shared" si="18"/>
        <v>41.806600000000003</v>
      </c>
      <c r="R120" s="45"/>
    </row>
    <row r="121" spans="1:18">
      <c r="A121" s="13"/>
      <c r="B121" s="293"/>
      <c r="C121" s="14" t="s">
        <v>13</v>
      </c>
      <c r="D121" s="15">
        <f>SUM('１月:１２月'!D121)</f>
        <v>3414.4738119440085</v>
      </c>
      <c r="E121" s="15">
        <f>SUM('１月:１２月'!E121)</f>
        <v>5171.7599999999993</v>
      </c>
      <c r="F121" s="15">
        <f>SUM('１月:１２月'!F121)</f>
        <v>8586.2338119440083</v>
      </c>
      <c r="G121" s="15">
        <f>SUM('１月:１２月'!G121)</f>
        <v>85.722000000000008</v>
      </c>
      <c r="H121" s="15">
        <f>SUM('１月:１２月'!H121)</f>
        <v>11944.162999999999</v>
      </c>
      <c r="I121" s="15">
        <f>SUM('１月:１２月'!I121)</f>
        <v>0</v>
      </c>
      <c r="J121" s="15">
        <f>SUM('１月:１２月'!J121)</f>
        <v>11944.162999999999</v>
      </c>
      <c r="K121" s="15">
        <f>SUM('１月:１２月'!K121)</f>
        <v>1523.0220000000002</v>
      </c>
      <c r="L121" s="15">
        <f>SUM('１月:１２月'!L121)</f>
        <v>0</v>
      </c>
      <c r="M121" s="15">
        <f>SUM('１月:１２月'!M121)</f>
        <v>0</v>
      </c>
      <c r="N121" s="15">
        <f>SUM('１月:１２月'!N121)</f>
        <v>0</v>
      </c>
      <c r="O121" s="15">
        <f>SUM('１月:１２月'!O121)</f>
        <v>0</v>
      </c>
      <c r="P121" s="15">
        <f>SUM('１月:１２月'!P121)</f>
        <v>0</v>
      </c>
      <c r="Q121" s="16">
        <f t="shared" si="18"/>
        <v>22139.140811944006</v>
      </c>
      <c r="R121" s="45"/>
    </row>
    <row r="122" spans="1:18">
      <c r="A122" s="13"/>
      <c r="B122" s="292" t="s">
        <v>84</v>
      </c>
      <c r="C122" s="10" t="s">
        <v>11</v>
      </c>
      <c r="D122" s="11">
        <f>SUM('１月:１２月'!D122)</f>
        <v>72.598700000000008</v>
      </c>
      <c r="E122" s="11">
        <f>SUM('１月:１２月'!E122)</f>
        <v>5.4770999999999992</v>
      </c>
      <c r="F122" s="11">
        <f>SUM('１月:１２月'!F122)</f>
        <v>78.075799999999987</v>
      </c>
      <c r="G122" s="11">
        <f>SUM('１月:１２月'!G122)</f>
        <v>17.176300000000001</v>
      </c>
      <c r="H122" s="11">
        <f>SUM('１月:１２月'!H122)</f>
        <v>63.361400000000003</v>
      </c>
      <c r="I122" s="11">
        <f>SUM('１月:１２月'!I122)</f>
        <v>0</v>
      </c>
      <c r="J122" s="11">
        <f>SUM('１月:１２月'!J122)</f>
        <v>63.361400000000003</v>
      </c>
      <c r="K122" s="11">
        <f>SUM('１月:１２月'!K122)</f>
        <v>0.70640000000000003</v>
      </c>
      <c r="L122" s="11">
        <f>SUM('１月:１２月'!L122)</f>
        <v>30.648200000000003</v>
      </c>
      <c r="M122" s="11">
        <f>SUM('１月:１２月'!M122)</f>
        <v>78.892499999999998</v>
      </c>
      <c r="N122" s="11">
        <f>SUM('１月:１２月'!N122)</f>
        <v>27.339199999999995</v>
      </c>
      <c r="O122" s="11">
        <f>SUM('１月:１２月'!O122)</f>
        <v>0</v>
      </c>
      <c r="P122" s="11">
        <f>SUM('１月:１２月'!P122)</f>
        <v>0.49280000000000002</v>
      </c>
      <c r="Q122" s="12">
        <f t="shared" si="18"/>
        <v>296.69259999999997</v>
      </c>
      <c r="R122" s="45"/>
    </row>
    <row r="123" spans="1:18">
      <c r="A123" s="13"/>
      <c r="B123" s="293"/>
      <c r="C123" s="14" t="s">
        <v>13</v>
      </c>
      <c r="D123" s="15">
        <f>SUM('１月:１２月'!D123)</f>
        <v>44532.06273701437</v>
      </c>
      <c r="E123" s="15">
        <f>SUM('１月:１２月'!E123)</f>
        <v>3390.511</v>
      </c>
      <c r="F123" s="15">
        <f>SUM('１月:１２月'!F123)</f>
        <v>47922.573737014369</v>
      </c>
      <c r="G123" s="15">
        <f>SUM('１月:１２月'!G123)</f>
        <v>23236.887999999999</v>
      </c>
      <c r="H123" s="15">
        <f>SUM('１月:１２月'!H123)</f>
        <v>39019.415999999997</v>
      </c>
      <c r="I123" s="15">
        <f>SUM('１月:１２月'!I123)</f>
        <v>0</v>
      </c>
      <c r="J123" s="15">
        <f>SUM('１月:１２月'!J123)</f>
        <v>39019.415999999997</v>
      </c>
      <c r="K123" s="15">
        <f>SUM('１月:１２月'!K123)</f>
        <v>464.07900000000001</v>
      </c>
      <c r="L123" s="15">
        <f>SUM('１月:１２月'!L123)</f>
        <v>19863.727999999999</v>
      </c>
      <c r="M123" s="15">
        <f>SUM('１月:１２月'!M123)</f>
        <v>144787.27752</v>
      </c>
      <c r="N123" s="15">
        <f>SUM('１月:１２月'!N123)</f>
        <v>23138.378000000001</v>
      </c>
      <c r="O123" s="15">
        <f>SUM('１月:１２月'!O123)</f>
        <v>0</v>
      </c>
      <c r="P123" s="15">
        <f>SUM('１月:１２月'!P123)</f>
        <v>293.79780000000005</v>
      </c>
      <c r="Q123" s="16">
        <f t="shared" si="18"/>
        <v>298726.13805701438</v>
      </c>
      <c r="R123" s="45"/>
    </row>
    <row r="124" spans="1:18">
      <c r="A124" s="13" t="s">
        <v>18</v>
      </c>
      <c r="B124" s="292" t="s">
        <v>85</v>
      </c>
      <c r="C124" s="10" t="s">
        <v>11</v>
      </c>
      <c r="D124" s="11">
        <f>SUM('１月:１２月'!D124)</f>
        <v>20.974699999999999</v>
      </c>
      <c r="E124" s="11">
        <f>SUM('１月:１２月'!E124)</f>
        <v>6.9814000000000007</v>
      </c>
      <c r="F124" s="11">
        <f>SUM('１月:１２月'!F124)</f>
        <v>27.956100000000003</v>
      </c>
      <c r="G124" s="11">
        <f>SUM('１月:１２月'!G124)</f>
        <v>7.1328999999999994</v>
      </c>
      <c r="H124" s="11">
        <f>SUM('１月:１２月'!H124)</f>
        <v>66.5458</v>
      </c>
      <c r="I124" s="11">
        <f>SUM('１月:１２月'!I124)</f>
        <v>0</v>
      </c>
      <c r="J124" s="11">
        <f>SUM('１月:１２月'!J124)</f>
        <v>66.5458</v>
      </c>
      <c r="K124" s="11">
        <f>SUM('１月:１２月'!K124)</f>
        <v>14.271699999999999</v>
      </c>
      <c r="L124" s="11">
        <f>SUM('１月:１２月'!L124)</f>
        <v>103.0626</v>
      </c>
      <c r="M124" s="11">
        <f>SUM('１月:１２月'!M124)</f>
        <v>1.1392000000000002</v>
      </c>
      <c r="N124" s="11">
        <f>SUM('１月:１２月'!N124)</f>
        <v>0.2387</v>
      </c>
      <c r="O124" s="11">
        <f>SUM('１月:１２月'!O124)</f>
        <v>0.21089999999999998</v>
      </c>
      <c r="P124" s="11">
        <f>SUM('１月:１２月'!P124)</f>
        <v>10.552199999999999</v>
      </c>
      <c r="Q124" s="12">
        <f t="shared" si="18"/>
        <v>231.11009999999999</v>
      </c>
      <c r="R124" s="45"/>
    </row>
    <row r="125" spans="1:18">
      <c r="A125" s="19"/>
      <c r="B125" s="293"/>
      <c r="C125" s="14" t="s">
        <v>13</v>
      </c>
      <c r="D125" s="15">
        <f>SUM('１月:１２月'!D125)</f>
        <v>33039.505440035457</v>
      </c>
      <c r="E125" s="15">
        <f>SUM('１月:１２月'!E125)</f>
        <v>3297.8330000000005</v>
      </c>
      <c r="F125" s="15">
        <f>SUM('１月:１２月'!F125)</f>
        <v>36337.338440035463</v>
      </c>
      <c r="G125" s="15">
        <f>SUM('１月:１２月'!G125)</f>
        <v>2485.7170000000001</v>
      </c>
      <c r="H125" s="15">
        <f>SUM('１月:１２月'!H125)</f>
        <v>72275.486000000004</v>
      </c>
      <c r="I125" s="15">
        <f>SUM('１月:１２月'!I125)</f>
        <v>0</v>
      </c>
      <c r="J125" s="15">
        <f>SUM('１月:１２月'!J125)</f>
        <v>72275.486000000004</v>
      </c>
      <c r="K125" s="15">
        <f>SUM('１月:１２月'!K125)</f>
        <v>4658.5820000000003</v>
      </c>
      <c r="L125" s="15">
        <f>SUM('１月:１２月'!L125)</f>
        <v>26066.976999999999</v>
      </c>
      <c r="M125" s="15">
        <f>SUM('１月:１２月'!M125)</f>
        <v>570.66660000000002</v>
      </c>
      <c r="N125" s="15">
        <f>SUM('１月:１２月'!N125)</f>
        <v>108.498</v>
      </c>
      <c r="O125" s="15">
        <f>SUM('１月:１２月'!O125)</f>
        <v>396.41699999999997</v>
      </c>
      <c r="P125" s="15">
        <f>SUM('１月:１２月'!P125)</f>
        <v>66500.553119999982</v>
      </c>
      <c r="Q125" s="16">
        <f t="shared" si="18"/>
        <v>209400.23516003543</v>
      </c>
      <c r="R125" s="45"/>
    </row>
    <row r="126" spans="1:18">
      <c r="A126" s="19"/>
      <c r="B126" s="17" t="s">
        <v>15</v>
      </c>
      <c r="C126" s="10" t="s">
        <v>11</v>
      </c>
      <c r="D126" s="11">
        <f>SUM('１月:１２月'!D126)</f>
        <v>21.7498</v>
      </c>
      <c r="E126" s="11">
        <f>SUM('１月:１２月'!E126)</f>
        <v>0.53970000000000007</v>
      </c>
      <c r="F126" s="11">
        <f>SUM('１月:１２月'!F126)</f>
        <v>22.289500000000004</v>
      </c>
      <c r="G126" s="11">
        <f>SUM('１月:１２月'!G126)</f>
        <v>79.58450000000002</v>
      </c>
      <c r="H126" s="11">
        <f>SUM('１月:１２月'!H126)</f>
        <v>90.598600000000019</v>
      </c>
      <c r="I126" s="11">
        <f>SUM('１月:１２月'!I126)</f>
        <v>0</v>
      </c>
      <c r="J126" s="11">
        <f>SUM('１月:１２月'!J126)</f>
        <v>90.598600000000019</v>
      </c>
      <c r="K126" s="11">
        <f>SUM('１月:１２月'!K126)</f>
        <v>2.427</v>
      </c>
      <c r="L126" s="11">
        <f>SUM('１月:１２月'!L126)</f>
        <v>97.294400000000024</v>
      </c>
      <c r="M126" s="11">
        <f>SUM('１月:１２月'!M126)</f>
        <v>0</v>
      </c>
      <c r="N126" s="11">
        <f>SUM('１月:１２月'!N126)</f>
        <v>0</v>
      </c>
      <c r="O126" s="11">
        <f>SUM('１月:１２月'!O126)</f>
        <v>0</v>
      </c>
      <c r="P126" s="11">
        <f>SUM('１月:１２月'!P126)</f>
        <v>7.9057999999999993</v>
      </c>
      <c r="Q126" s="12">
        <f t="shared" si="18"/>
        <v>300.09980000000007</v>
      </c>
      <c r="R126" s="45"/>
    </row>
    <row r="127" spans="1:18">
      <c r="A127" s="19"/>
      <c r="B127" s="14" t="s">
        <v>86</v>
      </c>
      <c r="C127" s="14" t="s">
        <v>13</v>
      </c>
      <c r="D127" s="15">
        <f>SUM('１月:１２月'!D127)</f>
        <v>8540.0069323188454</v>
      </c>
      <c r="E127" s="15">
        <f>SUM('１月:１２月'!E127)</f>
        <v>935.39699999999993</v>
      </c>
      <c r="F127" s="15">
        <f>SUM('１月:１２月'!F127)</f>
        <v>9475.4039323188426</v>
      </c>
      <c r="G127" s="15">
        <f>SUM('１月:１２月'!G127)</f>
        <v>18110.695000000003</v>
      </c>
      <c r="H127" s="15">
        <f>SUM('１月:１２月'!H127)</f>
        <v>44469.587999999996</v>
      </c>
      <c r="I127" s="15">
        <f>SUM('１月:１２月'!I127)</f>
        <v>0</v>
      </c>
      <c r="J127" s="15">
        <f>SUM('１月:１２月'!J127)</f>
        <v>44469.587999999996</v>
      </c>
      <c r="K127" s="15">
        <f>SUM('１月:１２月'!K127)</f>
        <v>343.67700000000002</v>
      </c>
      <c r="L127" s="15">
        <f>SUM('１月:１２月'!L127)</f>
        <v>13301.251999999999</v>
      </c>
      <c r="M127" s="15">
        <f>SUM('１月:１２月'!M127)</f>
        <v>0</v>
      </c>
      <c r="N127" s="15">
        <f>SUM('１月:１２月'!N127)</f>
        <v>0</v>
      </c>
      <c r="O127" s="15">
        <f>SUM('１月:１２月'!O127)</f>
        <v>0</v>
      </c>
      <c r="P127" s="15">
        <f>SUM('１月:１２月'!P127)</f>
        <v>12195.2736</v>
      </c>
      <c r="Q127" s="16">
        <f t="shared" si="18"/>
        <v>97895.889532318834</v>
      </c>
      <c r="R127" s="45"/>
    </row>
    <row r="128" spans="1:18">
      <c r="A128" s="19"/>
      <c r="B128" s="295" t="s">
        <v>19</v>
      </c>
      <c r="C128" s="10" t="s">
        <v>11</v>
      </c>
      <c r="D128" s="11">
        <f>+D106+D108+D110+D112+D114+D116+D118+D120+D122+D124+D126</f>
        <v>167.06459999999998</v>
      </c>
      <c r="E128" s="11">
        <f>+E106+E108+E110+E112+E114+E116+E118+E120+E122+E124+E126</f>
        <v>1411.6696999999999</v>
      </c>
      <c r="F128" s="11">
        <f t="shared" ref="F128:O129" si="28">+F106+F108+F110+F112+F114+F116+F118+F120+F122+F124+F126</f>
        <v>1578.7343000000003</v>
      </c>
      <c r="G128" s="11">
        <f t="shared" si="28"/>
        <v>3201.4815000000003</v>
      </c>
      <c r="H128" s="11">
        <f t="shared" si="28"/>
        <v>6768.0886999999993</v>
      </c>
      <c r="I128" s="11">
        <f t="shared" si="28"/>
        <v>0</v>
      </c>
      <c r="J128" s="11">
        <f t="shared" si="28"/>
        <v>6768.0886999999993</v>
      </c>
      <c r="K128" s="11">
        <f t="shared" si="28"/>
        <v>6082.6862000000001</v>
      </c>
      <c r="L128" s="11">
        <f t="shared" si="28"/>
        <v>3035.1308000000008</v>
      </c>
      <c r="M128" s="11">
        <f t="shared" si="28"/>
        <v>83.725200000000001</v>
      </c>
      <c r="N128" s="11">
        <f t="shared" si="28"/>
        <v>47.303369999999994</v>
      </c>
      <c r="O128" s="11">
        <f t="shared" si="28"/>
        <v>22.726699999999997</v>
      </c>
      <c r="P128" s="11">
        <f t="shared" ref="P128" si="29">+P106+P108+P110+P112+P114+P116+P118+P120+P122+P124+P126</f>
        <v>84.959140000000005</v>
      </c>
      <c r="Q128" s="12">
        <f t="shared" si="18"/>
        <v>20904.835910000002</v>
      </c>
      <c r="R128" s="45"/>
    </row>
    <row r="129" spans="1:18">
      <c r="A129" s="18"/>
      <c r="B129" s="296"/>
      <c r="C129" s="14" t="s">
        <v>13</v>
      </c>
      <c r="D129" s="15">
        <f>+D107+D109+D111+D113+D115+D117+D119+D121+D123+D125+D127</f>
        <v>115786.39059530126</v>
      </c>
      <c r="E129" s="15">
        <f>+E107+E109+E111+E113+E115+E117+E119+E121+E123+E125+E127</f>
        <v>322626.93400000007</v>
      </c>
      <c r="F129" s="15">
        <f t="shared" si="28"/>
        <v>438413.32459530135</v>
      </c>
      <c r="G129" s="15">
        <f t="shared" si="28"/>
        <v>305369.72700000001</v>
      </c>
      <c r="H129" s="15">
        <f t="shared" si="28"/>
        <v>2044984.1950000001</v>
      </c>
      <c r="I129" s="15">
        <f t="shared" si="28"/>
        <v>0</v>
      </c>
      <c r="J129" s="15">
        <f t="shared" si="28"/>
        <v>2044984.1950000001</v>
      </c>
      <c r="K129" s="15">
        <f t="shared" si="28"/>
        <v>493653.71400000004</v>
      </c>
      <c r="L129" s="15">
        <f t="shared" si="28"/>
        <v>290913.83600000001</v>
      </c>
      <c r="M129" s="15">
        <f t="shared" si="28"/>
        <v>146333.63772</v>
      </c>
      <c r="N129" s="15">
        <f t="shared" si="28"/>
        <v>33294.567000000003</v>
      </c>
      <c r="O129" s="15">
        <f t="shared" si="28"/>
        <v>19391.602000000003</v>
      </c>
      <c r="P129" s="15">
        <f t="shared" ref="P129" si="30">+P107+P109+P111+P113+P115+P117+P119+P121+P123+P125+P127</f>
        <v>116714.58199999998</v>
      </c>
      <c r="Q129" s="16">
        <f t="shared" si="18"/>
        <v>3889069.1853153016</v>
      </c>
      <c r="R129" s="45"/>
    </row>
    <row r="130" spans="1:18">
      <c r="A130" s="9" t="s">
        <v>0</v>
      </c>
      <c r="B130" s="292" t="s">
        <v>87</v>
      </c>
      <c r="C130" s="10" t="s">
        <v>11</v>
      </c>
      <c r="D130" s="11">
        <f>SUM('１月:１２月'!D130)</f>
        <v>0</v>
      </c>
      <c r="E130" s="11">
        <f>SUM('１月:１２月'!E130)</f>
        <v>0</v>
      </c>
      <c r="F130" s="11">
        <f>SUM('１月:１２月'!F130)</f>
        <v>0</v>
      </c>
      <c r="G130" s="11">
        <f>SUM('１月:１２月'!G130)</f>
        <v>0</v>
      </c>
      <c r="H130" s="11">
        <f>SUM('１月:１２月'!H130)</f>
        <v>0</v>
      </c>
      <c r="I130" s="11">
        <f>SUM('１月:１２月'!I130)</f>
        <v>0</v>
      </c>
      <c r="J130" s="11">
        <f>SUM('１月:１２月'!J130)</f>
        <v>0</v>
      </c>
      <c r="K130" s="11">
        <f>SUM('１月:１２月'!K130)</f>
        <v>0</v>
      </c>
      <c r="L130" s="11">
        <f>SUM('１月:１２月'!L130)</f>
        <v>4.2500000000000003E-2</v>
      </c>
      <c r="M130" s="11">
        <f>SUM('１月:１２月'!M130)</f>
        <v>0</v>
      </c>
      <c r="N130" s="11">
        <f>SUM('１月:１２月'!N130)</f>
        <v>0</v>
      </c>
      <c r="O130" s="11">
        <f>SUM('１月:１２月'!O130)</f>
        <v>0</v>
      </c>
      <c r="P130" s="11">
        <f>SUM('１月:１２月'!P130)</f>
        <v>0</v>
      </c>
      <c r="Q130" s="12">
        <f t="shared" si="18"/>
        <v>4.2500000000000003E-2</v>
      </c>
      <c r="R130" s="45"/>
    </row>
    <row r="131" spans="1:18">
      <c r="A131" s="9" t="s">
        <v>0</v>
      </c>
      <c r="B131" s="293"/>
      <c r="C131" s="14" t="s">
        <v>13</v>
      </c>
      <c r="D131" s="15">
        <f>SUM('１月:１２月'!D131)</f>
        <v>0</v>
      </c>
      <c r="E131" s="15">
        <f>SUM('１月:１２月'!E131)</f>
        <v>0</v>
      </c>
      <c r="F131" s="15">
        <f>SUM('１月:１２月'!F131)</f>
        <v>0</v>
      </c>
      <c r="G131" s="15">
        <f>SUM('１月:１２月'!G131)</f>
        <v>41.948</v>
      </c>
      <c r="H131" s="15">
        <f>SUM('１月:１２月'!H131)</f>
        <v>0</v>
      </c>
      <c r="I131" s="15">
        <f>SUM('１月:１２月'!I131)</f>
        <v>0</v>
      </c>
      <c r="J131" s="15">
        <f>SUM('１月:１２月'!J131)</f>
        <v>0</v>
      </c>
      <c r="K131" s="15">
        <f>SUM('１月:１２月'!K131)</f>
        <v>0</v>
      </c>
      <c r="L131" s="15">
        <f>SUM('１月:１２月'!L131)</f>
        <v>13.164</v>
      </c>
      <c r="M131" s="15">
        <f>SUM('１月:１２月'!M131)</f>
        <v>0</v>
      </c>
      <c r="N131" s="15">
        <f>SUM('１月:１２月'!N131)</f>
        <v>0</v>
      </c>
      <c r="O131" s="15">
        <f>SUM('１月:１２月'!O131)</f>
        <v>0</v>
      </c>
      <c r="P131" s="15">
        <f>SUM('１月:１２月'!P131)</f>
        <v>0</v>
      </c>
      <c r="Q131" s="16">
        <f t="shared" si="18"/>
        <v>55.112000000000002</v>
      </c>
      <c r="R131" s="45"/>
    </row>
    <row r="132" spans="1:18">
      <c r="A132" s="13" t="s">
        <v>88</v>
      </c>
      <c r="B132" s="292" t="s">
        <v>89</v>
      </c>
      <c r="C132" s="10" t="s">
        <v>11</v>
      </c>
      <c r="D132" s="11">
        <f>SUM('１月:１２月'!D132)</f>
        <v>0.21160000000000001</v>
      </c>
      <c r="E132" s="11">
        <f>SUM('１月:１２月'!E132)</f>
        <v>0.20649999999999999</v>
      </c>
      <c r="F132" s="11">
        <f>SUM('１月:１２月'!F132)</f>
        <v>0.41809999999999997</v>
      </c>
      <c r="G132" s="11">
        <f>SUM('１月:１２月'!G132)</f>
        <v>151.75539999999995</v>
      </c>
      <c r="H132" s="11">
        <f>SUM('１月:１２月'!H132)</f>
        <v>0</v>
      </c>
      <c r="I132" s="11">
        <f>SUM('１月:１２月'!I132)</f>
        <v>0</v>
      </c>
      <c r="J132" s="11">
        <f>SUM('１月:１２月'!J132)</f>
        <v>0</v>
      </c>
      <c r="K132" s="11">
        <f>SUM('１月:１２月'!K132)</f>
        <v>0</v>
      </c>
      <c r="L132" s="11">
        <f>SUM('１月:１２月'!L132)</f>
        <v>7.7279999999999998</v>
      </c>
      <c r="M132" s="11">
        <f>SUM('１月:１２月'!M132)</f>
        <v>0</v>
      </c>
      <c r="N132" s="11">
        <f>SUM('１月:１２月'!N132)</f>
        <v>0</v>
      </c>
      <c r="O132" s="11">
        <f>SUM('１月:１２月'!O132)</f>
        <v>0</v>
      </c>
      <c r="P132" s="11">
        <f>SUM('１月:１２月'!P132)</f>
        <v>0</v>
      </c>
      <c r="Q132" s="12">
        <f t="shared" si="18"/>
        <v>159.90149999999997</v>
      </c>
      <c r="R132" s="45"/>
    </row>
    <row r="133" spans="1:18">
      <c r="A133" s="13"/>
      <c r="B133" s="293"/>
      <c r="C133" s="14" t="s">
        <v>13</v>
      </c>
      <c r="D133" s="72">
        <f>SUM('１月:１２月'!D133)</f>
        <v>62.289005758003299</v>
      </c>
      <c r="E133" s="72">
        <f>SUM('１月:１２月'!E133)</f>
        <v>50.029000000000003</v>
      </c>
      <c r="F133" s="72">
        <f>SUM('１月:１２月'!F133)</f>
        <v>112.31800575800331</v>
      </c>
      <c r="G133" s="72">
        <f>SUM('１月:１２月'!G133)</f>
        <v>31524.012000000002</v>
      </c>
      <c r="H133" s="72">
        <f>SUM('１月:１２月'!H133)</f>
        <v>0</v>
      </c>
      <c r="I133" s="72">
        <f>SUM('１月:１２月'!I133)</f>
        <v>0</v>
      </c>
      <c r="J133" s="72">
        <f>SUM('１月:１２月'!J133)</f>
        <v>0</v>
      </c>
      <c r="K133" s="72">
        <f>SUM('１月:１２月'!K133)</f>
        <v>0</v>
      </c>
      <c r="L133" s="72">
        <f>SUM('１月:１２月'!L133)</f>
        <v>368.37399999999997</v>
      </c>
      <c r="M133" s="72">
        <f>SUM('１月:１２月'!M133)</f>
        <v>0</v>
      </c>
      <c r="N133" s="72">
        <f>SUM('１月:１２月'!N133)</f>
        <v>0</v>
      </c>
      <c r="O133" s="72">
        <f>SUM('１月:１２月'!O133)</f>
        <v>0</v>
      </c>
      <c r="P133" s="72">
        <f>SUM('１月:１２月'!P133)</f>
        <v>0</v>
      </c>
      <c r="Q133" s="100">
        <f t="shared" si="18"/>
        <v>32004.704005758005</v>
      </c>
      <c r="R133" s="45"/>
    </row>
    <row r="134" spans="1:18">
      <c r="A134" s="13" t="s">
        <v>90</v>
      </c>
      <c r="B134" s="17" t="s">
        <v>15</v>
      </c>
      <c r="C134" s="17" t="s">
        <v>11</v>
      </c>
      <c r="D134" s="11">
        <f>SUM('１月:１２月'!D134)</f>
        <v>1.0761000000000001</v>
      </c>
      <c r="E134" s="11">
        <f>SUM('１月:１２月'!E134)</f>
        <v>1.1655</v>
      </c>
      <c r="F134" s="11">
        <f>SUM('１月:１２月'!F134)</f>
        <v>2.2415999999999996</v>
      </c>
      <c r="G134" s="11">
        <f>SUM('１月:１２月'!G134)</f>
        <v>3.2052</v>
      </c>
      <c r="H134" s="11">
        <f>SUM('１月:１２月'!H134)</f>
        <v>23.212</v>
      </c>
      <c r="I134" s="11">
        <f>SUM('１月:１２月'!I134)</f>
        <v>0</v>
      </c>
      <c r="J134" s="11">
        <f>SUM('１月:１２月'!J134)</f>
        <v>23.212</v>
      </c>
      <c r="K134" s="11">
        <f>SUM('１月:１２月'!K134)</f>
        <v>7.2999999999999995E-2</v>
      </c>
      <c r="L134" s="11">
        <f>SUM('１月:１２月'!L134)</f>
        <v>627.32179999999994</v>
      </c>
      <c r="M134" s="11">
        <f>SUM('１月:１２月'!M134)</f>
        <v>0</v>
      </c>
      <c r="N134" s="11">
        <f>SUM('１月:１２月'!N134)</f>
        <v>0</v>
      </c>
      <c r="O134" s="11">
        <f>SUM('１月:１２月'!O134)</f>
        <v>0</v>
      </c>
      <c r="P134" s="11">
        <f>SUM('１月:１２月'!P134)</f>
        <v>0</v>
      </c>
      <c r="Q134" s="12">
        <f t="shared" si="18"/>
        <v>656.05359999999996</v>
      </c>
      <c r="R134" s="45"/>
    </row>
    <row r="135" spans="1:18">
      <c r="A135" s="13"/>
      <c r="B135" s="17" t="s">
        <v>91</v>
      </c>
      <c r="C135" s="10" t="s">
        <v>92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2">
        <f t="shared" si="18"/>
        <v>0</v>
      </c>
      <c r="R135" s="45"/>
    </row>
    <row r="136" spans="1:18">
      <c r="A136" s="13" t="s">
        <v>18</v>
      </c>
      <c r="B136" s="15"/>
      <c r="C136" s="14" t="s">
        <v>13</v>
      </c>
      <c r="D136" s="72">
        <f>SUM('１月:１２月'!D136)</f>
        <v>459.91512736890888</v>
      </c>
      <c r="E136" s="72">
        <f>SUM('１月:１２月'!E136)</f>
        <v>549.86199999999997</v>
      </c>
      <c r="F136" s="72">
        <f>SUM('１月:１２月'!F136)</f>
        <v>1009.7771273689089</v>
      </c>
      <c r="G136" s="72">
        <f>SUM('１月:１２月'!G136)</f>
        <v>4120.6729999999998</v>
      </c>
      <c r="H136" s="72">
        <f>SUM('１月:１２月'!H136)</f>
        <v>12155.421999999997</v>
      </c>
      <c r="I136" s="72">
        <f>SUM('１月:１２月'!I136)</f>
        <v>0</v>
      </c>
      <c r="J136" s="72">
        <f>SUM('１月:１２月'!J136)</f>
        <v>12155.421999999997</v>
      </c>
      <c r="K136" s="72">
        <f>SUM('１月:１２月'!K136)</f>
        <v>84.308000000000007</v>
      </c>
      <c r="L136" s="72">
        <f>SUM('１月:１２月'!L136)</f>
        <v>18940.582999999999</v>
      </c>
      <c r="M136" s="72">
        <f>SUM('１月:１２月'!M136)</f>
        <v>0</v>
      </c>
      <c r="N136" s="72">
        <f>SUM('１月:１２月'!N136)</f>
        <v>0</v>
      </c>
      <c r="O136" s="72">
        <f>SUM('１月:１２月'!O136)</f>
        <v>0</v>
      </c>
      <c r="P136" s="72">
        <f>SUM('１月:１２月'!P136)</f>
        <v>0</v>
      </c>
      <c r="Q136" s="100">
        <f t="shared" si="18"/>
        <v>36310.763127368904</v>
      </c>
      <c r="R136" s="45"/>
    </row>
    <row r="137" spans="1:18">
      <c r="A137" s="19"/>
      <c r="B137" s="25" t="s">
        <v>0</v>
      </c>
      <c r="C137" s="17" t="s">
        <v>11</v>
      </c>
      <c r="D137" s="11">
        <f>+D130+D132+D134</f>
        <v>1.2877000000000001</v>
      </c>
      <c r="E137" s="11">
        <f t="shared" ref="E137:O137" si="31">+E130+E132+E134</f>
        <v>1.3719999999999999</v>
      </c>
      <c r="F137" s="11">
        <f t="shared" si="31"/>
        <v>2.6596999999999995</v>
      </c>
      <c r="G137" s="11">
        <f t="shared" si="31"/>
        <v>154.96059999999994</v>
      </c>
      <c r="H137" s="11">
        <f t="shared" si="31"/>
        <v>23.212</v>
      </c>
      <c r="I137" s="11">
        <f t="shared" si="31"/>
        <v>0</v>
      </c>
      <c r="J137" s="11">
        <f t="shared" si="31"/>
        <v>23.212</v>
      </c>
      <c r="K137" s="11">
        <f t="shared" si="31"/>
        <v>7.2999999999999995E-2</v>
      </c>
      <c r="L137" s="11">
        <f t="shared" si="31"/>
        <v>635.09229999999991</v>
      </c>
      <c r="M137" s="11">
        <f t="shared" si="31"/>
        <v>0</v>
      </c>
      <c r="N137" s="11">
        <f t="shared" si="31"/>
        <v>0</v>
      </c>
      <c r="O137" s="11">
        <f t="shared" si="31"/>
        <v>0</v>
      </c>
      <c r="P137" s="11">
        <f t="shared" ref="P137" si="32">+P130+P132+P134</f>
        <v>0</v>
      </c>
      <c r="Q137" s="12">
        <f t="shared" si="18"/>
        <v>815.99759999999981</v>
      </c>
      <c r="R137" s="45"/>
    </row>
    <row r="138" spans="1:18">
      <c r="A138" s="19"/>
      <c r="B138" s="26" t="s">
        <v>19</v>
      </c>
      <c r="C138" s="10" t="s">
        <v>92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 t="shared" si="18"/>
        <v>0</v>
      </c>
      <c r="R138" s="45"/>
    </row>
    <row r="139" spans="1:18">
      <c r="A139" s="18"/>
      <c r="B139" s="15"/>
      <c r="C139" s="14" t="s">
        <v>13</v>
      </c>
      <c r="D139" s="15">
        <f>+D131+D133+D136</f>
        <v>522.20413312691221</v>
      </c>
      <c r="E139" s="15">
        <f t="shared" ref="E139:O139" si="33">+E131+E133+E136</f>
        <v>599.89099999999996</v>
      </c>
      <c r="F139" s="15">
        <f t="shared" si="33"/>
        <v>1122.0951331269121</v>
      </c>
      <c r="G139" s="15">
        <f t="shared" si="33"/>
        <v>35686.633000000002</v>
      </c>
      <c r="H139" s="15">
        <f t="shared" si="33"/>
        <v>12155.421999999997</v>
      </c>
      <c r="I139" s="15">
        <f t="shared" si="33"/>
        <v>0</v>
      </c>
      <c r="J139" s="15">
        <f t="shared" si="33"/>
        <v>12155.421999999997</v>
      </c>
      <c r="K139" s="15">
        <f t="shared" si="33"/>
        <v>84.308000000000007</v>
      </c>
      <c r="L139" s="15">
        <f t="shared" si="33"/>
        <v>19322.120999999999</v>
      </c>
      <c r="M139" s="15">
        <f t="shared" si="33"/>
        <v>0</v>
      </c>
      <c r="N139" s="15">
        <f t="shared" si="33"/>
        <v>0</v>
      </c>
      <c r="O139" s="15">
        <f t="shared" si="33"/>
        <v>0</v>
      </c>
      <c r="P139" s="15">
        <f t="shared" ref="P139" si="34">+P131+P133+P136</f>
        <v>0</v>
      </c>
      <c r="Q139" s="100">
        <f t="shared" si="18"/>
        <v>68370.579133126914</v>
      </c>
      <c r="R139" s="45"/>
    </row>
    <row r="140" spans="1:18">
      <c r="A140" s="27"/>
      <c r="B140" s="28" t="s">
        <v>0</v>
      </c>
      <c r="C140" s="46" t="s">
        <v>11</v>
      </c>
      <c r="D140" s="93">
        <f>D137+D128+D104</f>
        <v>4932.2255399999995</v>
      </c>
      <c r="E140" s="93">
        <f t="shared" ref="E140:O140" si="35">E137+E128+E104</f>
        <v>13033.905839999998</v>
      </c>
      <c r="F140" s="93">
        <f t="shared" si="35"/>
        <v>17966.131379999999</v>
      </c>
      <c r="G140" s="93">
        <f t="shared" si="35"/>
        <v>79011.443999999989</v>
      </c>
      <c r="H140" s="93">
        <f t="shared" si="35"/>
        <v>97081.39651999998</v>
      </c>
      <c r="I140" s="93">
        <f t="shared" si="35"/>
        <v>0</v>
      </c>
      <c r="J140" s="93">
        <f t="shared" si="35"/>
        <v>97081.39651999998</v>
      </c>
      <c r="K140" s="93">
        <f t="shared" si="35"/>
        <v>54354.0239</v>
      </c>
      <c r="L140" s="93">
        <f t="shared" si="35"/>
        <v>7970.3026700000009</v>
      </c>
      <c r="M140" s="93">
        <f t="shared" si="35"/>
        <v>92.043700000000001</v>
      </c>
      <c r="N140" s="93">
        <f t="shared" si="35"/>
        <v>988.80606999999998</v>
      </c>
      <c r="O140" s="93">
        <f t="shared" si="35"/>
        <v>152.76909999999995</v>
      </c>
      <c r="P140" s="93">
        <f t="shared" ref="P140" si="36">P137+P128+P104</f>
        <v>484.86807000000005</v>
      </c>
      <c r="Q140" s="12">
        <f t="shared" si="18"/>
        <v>258101.78540999998</v>
      </c>
      <c r="R140" s="45"/>
    </row>
    <row r="141" spans="1:18">
      <c r="A141" s="27"/>
      <c r="B141" s="31" t="s">
        <v>93</v>
      </c>
      <c r="C141" s="48" t="s">
        <v>92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12">
        <f t="shared" ref="Q141:Q142" si="37">SUM(F141:G141,J141:P141)</f>
        <v>0</v>
      </c>
      <c r="R141" s="45"/>
    </row>
    <row r="142" spans="1:18" ht="19.5" thickBot="1">
      <c r="A142" s="34"/>
      <c r="B142" s="35"/>
      <c r="C142" s="51" t="s">
        <v>13</v>
      </c>
      <c r="D142" s="37">
        <f>D139+D129+D105</f>
        <v>3370550.8039922742</v>
      </c>
      <c r="E142" s="37">
        <f t="shared" ref="E142:O142" si="38">E139+E129+E105</f>
        <v>5071468.0530000003</v>
      </c>
      <c r="F142" s="37">
        <f t="shared" si="38"/>
        <v>8442122.8099999968</v>
      </c>
      <c r="G142" s="37">
        <f t="shared" si="38"/>
        <v>17050228.717</v>
      </c>
      <c r="H142" s="37">
        <f t="shared" si="38"/>
        <v>16831554.610000003</v>
      </c>
      <c r="I142" s="37">
        <f t="shared" si="38"/>
        <v>0</v>
      </c>
      <c r="J142" s="37">
        <f t="shared" si="38"/>
        <v>16831554.610000003</v>
      </c>
      <c r="K142" s="37">
        <f t="shared" si="38"/>
        <v>8747303.4990000017</v>
      </c>
      <c r="L142" s="37">
        <f t="shared" si="38"/>
        <v>2034523.1519999998</v>
      </c>
      <c r="M142" s="37">
        <f t="shared" si="38"/>
        <v>149671.63260000001</v>
      </c>
      <c r="N142" s="37">
        <f t="shared" si="38"/>
        <v>508162.25299999997</v>
      </c>
      <c r="O142" s="37">
        <f t="shared" si="38"/>
        <v>107109.81600000001</v>
      </c>
      <c r="P142" s="37">
        <f t="shared" ref="P142" si="39">P139+P129+P105</f>
        <v>374121.52908000001</v>
      </c>
      <c r="Q142" s="23">
        <f t="shared" si="37"/>
        <v>54244798.018679999</v>
      </c>
      <c r="R142" s="45"/>
    </row>
    <row r="143" spans="1:18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01" t="s">
        <v>94</v>
      </c>
    </row>
    <row r="144" spans="1:18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4:16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4:16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4:16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4:16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4:16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4:16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4:16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Q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110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2.3199999999999998E-2</v>
      </c>
      <c r="H5" s="77">
        <v>66.349599999999995</v>
      </c>
      <c r="I5" s="174"/>
      <c r="J5" s="173">
        <f>SUM(H5:I5)</f>
        <v>66.349599999999995</v>
      </c>
      <c r="K5" s="77"/>
      <c r="L5" s="33"/>
      <c r="M5" s="33"/>
      <c r="N5" s="33"/>
      <c r="O5" s="33"/>
      <c r="P5" s="33"/>
      <c r="Q5" s="175">
        <f>SUM(F5:G5,J5:P5)</f>
        <v>66.372799999999998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1.6819999999999999</v>
      </c>
      <c r="H6" s="78">
        <v>2569.7399999999998</v>
      </c>
      <c r="I6" s="179"/>
      <c r="J6" s="178">
        <f>SUM(H6:I6)</f>
        <v>2569.7399999999998</v>
      </c>
      <c r="K6" s="78"/>
      <c r="L6" s="54"/>
      <c r="M6" s="54"/>
      <c r="N6" s="54"/>
      <c r="O6" s="54"/>
      <c r="P6" s="54"/>
      <c r="Q6" s="180">
        <f>SUM(F6:G6,J6:P6)</f>
        <v>2571.4219999999996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0.02</v>
      </c>
      <c r="F7" s="181">
        <f t="shared" ref="F7:F68" si="0">SUM(D7:E7)</f>
        <v>0.02</v>
      </c>
      <c r="G7" s="77">
        <v>6.6500000000000004E-2</v>
      </c>
      <c r="H7" s="77">
        <v>114.898</v>
      </c>
      <c r="I7" s="174"/>
      <c r="J7" s="181">
        <f t="shared" ref="J7:J68" si="1">SUM(H7:I7)</f>
        <v>114.898</v>
      </c>
      <c r="K7" s="77">
        <v>17.635999999999999</v>
      </c>
      <c r="L7" s="33">
        <v>0.20349999999999999</v>
      </c>
      <c r="M7" s="33"/>
      <c r="N7" s="33"/>
      <c r="O7" s="33"/>
      <c r="P7" s="33"/>
      <c r="Q7" s="175">
        <f t="shared" ref="Q7:Q68" si="2">SUM(F7:G7,J7:P7)</f>
        <v>132.82399999999998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12.744</v>
      </c>
      <c r="F8" s="178">
        <f t="shared" si="0"/>
        <v>12.744</v>
      </c>
      <c r="G8" s="78">
        <v>1.571</v>
      </c>
      <c r="H8" s="78">
        <v>3255.873</v>
      </c>
      <c r="I8" s="179"/>
      <c r="J8" s="178">
        <f t="shared" si="1"/>
        <v>3255.873</v>
      </c>
      <c r="K8" s="103">
        <v>649.27499999999998</v>
      </c>
      <c r="L8" s="54">
        <v>5.1420000000000003</v>
      </c>
      <c r="M8" s="54"/>
      <c r="N8" s="54"/>
      <c r="O8" s="54"/>
      <c r="P8" s="54"/>
      <c r="Q8" s="180">
        <f t="shared" si="2"/>
        <v>3924.605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f t="shared" ref="E9:E10" si="3">+E5+E7</f>
        <v>0.02</v>
      </c>
      <c r="F9" s="181">
        <f>SUM(D9:E9)</f>
        <v>0.02</v>
      </c>
      <c r="G9" s="49">
        <f t="shared" ref="G9:G10" si="4">+G5+G7</f>
        <v>8.9700000000000002E-2</v>
      </c>
      <c r="H9" s="49">
        <f>+H5+H7</f>
        <v>181.24759999999998</v>
      </c>
      <c r="I9" s="50"/>
      <c r="J9" s="181">
        <f>SUM(H9:I9)</f>
        <v>181.24759999999998</v>
      </c>
      <c r="K9" s="49">
        <f>+K5+K7</f>
        <v>17.635999999999999</v>
      </c>
      <c r="L9" s="33">
        <f t="shared" ref="L9:L10" si="5">+L5+L7</f>
        <v>0.20349999999999999</v>
      </c>
      <c r="M9" s="33"/>
      <c r="N9" s="33"/>
      <c r="O9" s="33"/>
      <c r="P9" s="33"/>
      <c r="Q9" s="175">
        <f t="shared" si="2"/>
        <v>199.19679999999997</v>
      </c>
      <c r="R9" s="47"/>
    </row>
    <row r="10" spans="1:18">
      <c r="A10" s="183"/>
      <c r="B10" s="309"/>
      <c r="C10" s="177" t="s">
        <v>13</v>
      </c>
      <c r="D10" s="54"/>
      <c r="E10" s="54">
        <f t="shared" si="3"/>
        <v>12.744</v>
      </c>
      <c r="F10" s="178">
        <f t="shared" si="0"/>
        <v>12.744</v>
      </c>
      <c r="G10" s="68">
        <f t="shared" si="4"/>
        <v>3.2530000000000001</v>
      </c>
      <c r="H10" s="68">
        <f>+H6+H8</f>
        <v>5825.6129999999994</v>
      </c>
      <c r="I10" s="63"/>
      <c r="J10" s="178">
        <f t="shared" si="1"/>
        <v>5825.6129999999994</v>
      </c>
      <c r="K10" s="68">
        <f>+K6+K8</f>
        <v>649.27499999999998</v>
      </c>
      <c r="L10" s="54">
        <f t="shared" si="5"/>
        <v>5.1420000000000003</v>
      </c>
      <c r="M10" s="54"/>
      <c r="N10" s="54"/>
      <c r="O10" s="54"/>
      <c r="P10" s="54"/>
      <c r="Q10" s="180">
        <f t="shared" si="2"/>
        <v>6496.0269999999991</v>
      </c>
      <c r="R10" s="47"/>
    </row>
    <row r="11" spans="1:18">
      <c r="A11" s="310" t="s">
        <v>20</v>
      </c>
      <c r="B11" s="311"/>
      <c r="C11" s="48" t="s">
        <v>11</v>
      </c>
      <c r="D11" s="52">
        <v>14.4575</v>
      </c>
      <c r="E11" s="52">
        <v>0.59619999999999995</v>
      </c>
      <c r="F11" s="181">
        <f t="shared" si="0"/>
        <v>15.053699999999999</v>
      </c>
      <c r="G11" s="77">
        <v>5176.6624000000002</v>
      </c>
      <c r="H11" s="77">
        <v>472.185</v>
      </c>
      <c r="I11" s="174"/>
      <c r="J11" s="181">
        <f t="shared" si="1"/>
        <v>472.185</v>
      </c>
      <c r="K11" s="77">
        <v>802.51769999999999</v>
      </c>
      <c r="L11" s="33">
        <v>3.1554000000000002</v>
      </c>
      <c r="M11" s="33"/>
      <c r="N11" s="33"/>
      <c r="O11" s="33"/>
      <c r="P11" s="33"/>
      <c r="Q11" s="175">
        <f t="shared" si="2"/>
        <v>6469.5742000000009</v>
      </c>
      <c r="R11" s="47"/>
    </row>
    <row r="12" spans="1:18">
      <c r="A12" s="312"/>
      <c r="B12" s="313"/>
      <c r="C12" s="177" t="s">
        <v>13</v>
      </c>
      <c r="D12" s="53">
        <v>6178.521139684005</v>
      </c>
      <c r="E12" s="53">
        <v>428.57100000000003</v>
      </c>
      <c r="F12" s="178">
        <f t="shared" si="0"/>
        <v>6607.0921396840049</v>
      </c>
      <c r="G12" s="78">
        <v>1442229.4920000001</v>
      </c>
      <c r="H12" s="78">
        <v>80251.482999999993</v>
      </c>
      <c r="I12" s="179"/>
      <c r="J12" s="178">
        <f t="shared" si="1"/>
        <v>80251.482999999993</v>
      </c>
      <c r="K12" s="78">
        <v>227048.24799999999</v>
      </c>
      <c r="L12" s="54">
        <v>474.22300000000001</v>
      </c>
      <c r="M12" s="54"/>
      <c r="N12" s="54"/>
      <c r="O12" s="54"/>
      <c r="P12" s="54"/>
      <c r="Q12" s="180">
        <f t="shared" si="2"/>
        <v>1756610.5381396839</v>
      </c>
      <c r="R12" s="47"/>
    </row>
    <row r="13" spans="1:18">
      <c r="A13" s="27"/>
      <c r="B13" s="306" t="s">
        <v>21</v>
      </c>
      <c r="C13" s="48" t="s">
        <v>11</v>
      </c>
      <c r="D13" s="52">
        <v>4.7450000000000001</v>
      </c>
      <c r="E13" s="52">
        <v>5.4817999999999998</v>
      </c>
      <c r="F13" s="181">
        <f t="shared" si="0"/>
        <v>10.226800000000001</v>
      </c>
      <c r="G13" s="77">
        <v>0.3553</v>
      </c>
      <c r="H13" s="77">
        <v>3.2000000000000001E-2</v>
      </c>
      <c r="I13" s="174"/>
      <c r="J13" s="181">
        <f t="shared" si="1"/>
        <v>3.2000000000000001E-2</v>
      </c>
      <c r="K13" s="77">
        <v>0.17499999999999999</v>
      </c>
      <c r="L13" s="33">
        <v>0.10349999999999999</v>
      </c>
      <c r="M13" s="33"/>
      <c r="N13" s="33"/>
      <c r="O13" s="33"/>
      <c r="P13" s="33"/>
      <c r="Q13" s="175">
        <f t="shared" si="2"/>
        <v>10.892600000000002</v>
      </c>
      <c r="R13" s="47"/>
    </row>
    <row r="14" spans="1:18">
      <c r="A14" s="172" t="s">
        <v>0</v>
      </c>
      <c r="B14" s="307"/>
      <c r="C14" s="177" t="s">
        <v>13</v>
      </c>
      <c r="D14" s="53">
        <v>12218.061401624538</v>
      </c>
      <c r="E14" s="53">
        <v>17163.510999999999</v>
      </c>
      <c r="F14" s="178">
        <f t="shared" si="0"/>
        <v>29381.572401624537</v>
      </c>
      <c r="G14" s="78">
        <v>1009.818</v>
      </c>
      <c r="H14" s="78">
        <v>22.774999999999999</v>
      </c>
      <c r="I14" s="179"/>
      <c r="J14" s="178">
        <f t="shared" si="1"/>
        <v>22.774999999999999</v>
      </c>
      <c r="K14" s="78">
        <v>673.82799999999997</v>
      </c>
      <c r="L14" s="54">
        <v>319.637</v>
      </c>
      <c r="M14" s="54"/>
      <c r="N14" s="54"/>
      <c r="O14" s="54"/>
      <c r="P14" s="54"/>
      <c r="Q14" s="180">
        <f t="shared" si="2"/>
        <v>31407.630401624538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0.7016</v>
      </c>
      <c r="E15" s="52">
        <v>3.0000000000000001E-3</v>
      </c>
      <c r="F15" s="181">
        <f t="shared" si="0"/>
        <v>0.7046</v>
      </c>
      <c r="G15" s="77">
        <v>0.68059999999999998</v>
      </c>
      <c r="H15" s="77">
        <v>0.1474</v>
      </c>
      <c r="I15" s="174"/>
      <c r="J15" s="181">
        <f t="shared" si="1"/>
        <v>0.1474</v>
      </c>
      <c r="K15" s="77">
        <v>0.23150000000000001</v>
      </c>
      <c r="L15" s="33">
        <v>4.0599999999999997E-2</v>
      </c>
      <c r="M15" s="33"/>
      <c r="N15" s="33"/>
      <c r="O15" s="33"/>
      <c r="P15" s="33"/>
      <c r="Q15" s="175">
        <f t="shared" si="2"/>
        <v>1.8047</v>
      </c>
      <c r="R15" s="47"/>
    </row>
    <row r="16" spans="1:18">
      <c r="A16" s="176" t="s">
        <v>0</v>
      </c>
      <c r="B16" s="307"/>
      <c r="C16" s="177" t="s">
        <v>13</v>
      </c>
      <c r="D16" s="53">
        <v>293.05583524187307</v>
      </c>
      <c r="E16" s="53">
        <v>2.2679999999999998</v>
      </c>
      <c r="F16" s="178">
        <f t="shared" si="0"/>
        <v>295.32383524187304</v>
      </c>
      <c r="G16" s="78">
        <v>793.64599999999996</v>
      </c>
      <c r="H16" s="78">
        <v>267.19600000000003</v>
      </c>
      <c r="I16" s="179"/>
      <c r="J16" s="178">
        <f t="shared" si="1"/>
        <v>267.19600000000003</v>
      </c>
      <c r="K16" s="78">
        <v>443.255</v>
      </c>
      <c r="L16" s="54">
        <v>33.603999999999999</v>
      </c>
      <c r="M16" s="54"/>
      <c r="N16" s="54"/>
      <c r="O16" s="54"/>
      <c r="P16" s="54"/>
      <c r="Q16" s="180">
        <f t="shared" si="2"/>
        <v>1833.0248352418732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248.64340000000001</v>
      </c>
      <c r="E17" s="52">
        <v>86.500799999999998</v>
      </c>
      <c r="F17" s="181">
        <f t="shared" si="0"/>
        <v>335.14420000000001</v>
      </c>
      <c r="G17" s="77">
        <v>152.23429999999999</v>
      </c>
      <c r="H17" s="77">
        <v>37.609000000000002</v>
      </c>
      <c r="I17" s="174"/>
      <c r="J17" s="181">
        <f t="shared" si="1"/>
        <v>37.609000000000002</v>
      </c>
      <c r="K17" s="77">
        <v>44.118000000000002</v>
      </c>
      <c r="L17" s="33">
        <v>0.12525</v>
      </c>
      <c r="M17" s="33"/>
      <c r="N17" s="33"/>
      <c r="O17" s="33"/>
      <c r="P17" s="33"/>
      <c r="Q17" s="175">
        <f t="shared" si="2"/>
        <v>569.23075000000017</v>
      </c>
      <c r="R17" s="47"/>
    </row>
    <row r="18" spans="1:18">
      <c r="A18" s="176"/>
      <c r="B18" s="307"/>
      <c r="C18" s="177" t="s">
        <v>13</v>
      </c>
      <c r="D18" s="53">
        <v>394371.50191688689</v>
      </c>
      <c r="E18" s="53">
        <v>138475.29</v>
      </c>
      <c r="F18" s="178">
        <f t="shared" si="0"/>
        <v>532846.79191688693</v>
      </c>
      <c r="G18" s="78">
        <v>130916.71400000001</v>
      </c>
      <c r="H18" s="78">
        <v>9288.8680000000004</v>
      </c>
      <c r="I18" s="179"/>
      <c r="J18" s="178">
        <f t="shared" si="1"/>
        <v>9288.8680000000004</v>
      </c>
      <c r="K18" s="78">
        <v>13397.019</v>
      </c>
      <c r="L18" s="54">
        <v>261.57400000000001</v>
      </c>
      <c r="M18" s="54"/>
      <c r="N18" s="54"/>
      <c r="O18" s="54"/>
      <c r="P18" s="54"/>
      <c r="Q18" s="180">
        <f t="shared" si="2"/>
        <v>686710.96691688697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102.29219999999999</v>
      </c>
      <c r="E19" s="52">
        <v>1.5087999999999999</v>
      </c>
      <c r="F19" s="181">
        <f t="shared" si="0"/>
        <v>103.80099999999999</v>
      </c>
      <c r="G19" s="77">
        <v>241.77070000000001</v>
      </c>
      <c r="H19" s="77">
        <v>5.07</v>
      </c>
      <c r="I19" s="174"/>
      <c r="J19" s="181">
        <f t="shared" si="1"/>
        <v>5.07</v>
      </c>
      <c r="K19" s="77">
        <v>5.2</v>
      </c>
      <c r="L19" s="33"/>
      <c r="M19" s="33"/>
      <c r="N19" s="33"/>
      <c r="O19" s="33"/>
      <c r="P19" s="33"/>
      <c r="Q19" s="175">
        <f t="shared" si="2"/>
        <v>355.84169999999995</v>
      </c>
      <c r="R19" s="47"/>
    </row>
    <row r="20" spans="1:18">
      <c r="A20" s="176"/>
      <c r="B20" s="177" t="s">
        <v>28</v>
      </c>
      <c r="C20" s="177" t="s">
        <v>13</v>
      </c>
      <c r="D20" s="53">
        <v>77118.93234787797</v>
      </c>
      <c r="E20" s="53">
        <v>1575.57</v>
      </c>
      <c r="F20" s="178">
        <f t="shared" si="0"/>
        <v>78694.502347877977</v>
      </c>
      <c r="G20" s="78">
        <v>143316.38699999999</v>
      </c>
      <c r="H20" s="78">
        <v>1327.4390000000001</v>
      </c>
      <c r="I20" s="179"/>
      <c r="J20" s="178">
        <f t="shared" si="1"/>
        <v>1327.4390000000001</v>
      </c>
      <c r="K20" s="78">
        <v>1409.19</v>
      </c>
      <c r="L20" s="54"/>
      <c r="M20" s="54"/>
      <c r="N20" s="54"/>
      <c r="O20" s="54"/>
      <c r="P20" s="54"/>
      <c r="Q20" s="180">
        <f t="shared" si="2"/>
        <v>224747.51834787798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1.7624</v>
      </c>
      <c r="E21" s="52">
        <v>0.73939999999999995</v>
      </c>
      <c r="F21" s="181">
        <f t="shared" si="0"/>
        <v>2.5017999999999998</v>
      </c>
      <c r="G21" s="77">
        <v>0.88439999999999996</v>
      </c>
      <c r="H21" s="77"/>
      <c r="I21" s="174"/>
      <c r="J21" s="181">
        <f t="shared" si="1"/>
        <v>0</v>
      </c>
      <c r="K21" s="77">
        <v>4.665</v>
      </c>
      <c r="L21" s="33"/>
      <c r="M21" s="33"/>
      <c r="N21" s="33"/>
      <c r="O21" s="33"/>
      <c r="P21" s="33"/>
      <c r="Q21" s="175">
        <f t="shared" si="2"/>
        <v>8.0511999999999997</v>
      </c>
      <c r="R21" s="47"/>
    </row>
    <row r="22" spans="1:18">
      <c r="A22" s="27"/>
      <c r="B22" s="307"/>
      <c r="C22" s="177" t="s">
        <v>13</v>
      </c>
      <c r="D22" s="53">
        <v>665.09638920133079</v>
      </c>
      <c r="E22" s="53">
        <v>323.97399999999999</v>
      </c>
      <c r="F22" s="178">
        <f t="shared" si="0"/>
        <v>989.07038920133073</v>
      </c>
      <c r="G22" s="78">
        <v>344.47399999999999</v>
      </c>
      <c r="H22" s="78"/>
      <c r="I22" s="179"/>
      <c r="J22" s="178">
        <f t="shared" si="1"/>
        <v>0</v>
      </c>
      <c r="K22" s="78">
        <v>1560.1079999999999</v>
      </c>
      <c r="L22" s="54"/>
      <c r="M22" s="54"/>
      <c r="N22" s="54"/>
      <c r="O22" s="54"/>
      <c r="P22" s="54"/>
      <c r="Q22" s="180">
        <f t="shared" si="2"/>
        <v>2893.6523892013306</v>
      </c>
      <c r="R22" s="47"/>
    </row>
    <row r="23" spans="1:18">
      <c r="A23" s="27"/>
      <c r="B23" s="308" t="s">
        <v>19</v>
      </c>
      <c r="C23" s="48" t="s">
        <v>11</v>
      </c>
      <c r="D23" s="33">
        <f t="shared" ref="D23:D24" si="6">D13+D15+D17+D19+D21</f>
        <v>358.14460000000003</v>
      </c>
      <c r="E23" s="33">
        <f t="shared" ref="E23:E24" si="7">+E13+E15+E17+E19+E21</f>
        <v>94.233800000000002</v>
      </c>
      <c r="F23" s="181">
        <f t="shared" si="0"/>
        <v>452.37840000000006</v>
      </c>
      <c r="G23" s="49">
        <f t="shared" ref="G23:H24" si="8">+G13+G15+G17+G19+G21</f>
        <v>395.92529999999999</v>
      </c>
      <c r="H23" s="49">
        <f t="shared" si="8"/>
        <v>42.858400000000003</v>
      </c>
      <c r="I23" s="50"/>
      <c r="J23" s="181">
        <f t="shared" si="1"/>
        <v>42.858400000000003</v>
      </c>
      <c r="K23" s="49">
        <f t="shared" ref="K23:L24" si="9">+K13+K15+K17+K19+K21</f>
        <v>54.389500000000005</v>
      </c>
      <c r="L23" s="33">
        <f t="shared" si="9"/>
        <v>0.26934999999999998</v>
      </c>
      <c r="M23" s="33"/>
      <c r="N23" s="33"/>
      <c r="O23" s="33"/>
      <c r="P23" s="33"/>
      <c r="Q23" s="175">
        <f t="shared" si="2"/>
        <v>945.82095000000004</v>
      </c>
      <c r="R23" s="47"/>
    </row>
    <row r="24" spans="1:18">
      <c r="A24" s="183"/>
      <c r="B24" s="309"/>
      <c r="C24" s="177" t="s">
        <v>13</v>
      </c>
      <c r="D24" s="54">
        <f t="shared" si="6"/>
        <v>484666.64789083262</v>
      </c>
      <c r="E24" s="54">
        <f t="shared" si="7"/>
        <v>157540.61300000001</v>
      </c>
      <c r="F24" s="178">
        <f t="shared" si="0"/>
        <v>642207.26089083264</v>
      </c>
      <c r="G24" s="68">
        <f t="shared" si="8"/>
        <v>276381.03899999999</v>
      </c>
      <c r="H24" s="68">
        <f t="shared" si="8"/>
        <v>10906.278</v>
      </c>
      <c r="I24" s="63"/>
      <c r="J24" s="178">
        <f t="shared" si="1"/>
        <v>10906.278</v>
      </c>
      <c r="K24" s="68">
        <f t="shared" si="9"/>
        <v>17483.400000000001</v>
      </c>
      <c r="L24" s="54">
        <f t="shared" si="9"/>
        <v>614.81500000000005</v>
      </c>
      <c r="M24" s="54"/>
      <c r="N24" s="54"/>
      <c r="O24" s="54"/>
      <c r="P24" s="54"/>
      <c r="Q24" s="180">
        <f t="shared" si="2"/>
        <v>947592.79289083264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12.597</v>
      </c>
      <c r="E25" s="52">
        <v>4.992</v>
      </c>
      <c r="F25" s="181">
        <f t="shared" si="0"/>
        <v>17.588999999999999</v>
      </c>
      <c r="G25" s="77">
        <v>212.5335</v>
      </c>
      <c r="H25" s="77">
        <v>9.0999999999999998E-2</v>
      </c>
      <c r="I25" s="174"/>
      <c r="J25" s="181">
        <f t="shared" si="1"/>
        <v>9.0999999999999998E-2</v>
      </c>
      <c r="K25" s="77"/>
      <c r="L25" s="33">
        <v>0.113</v>
      </c>
      <c r="M25" s="33"/>
      <c r="N25" s="33"/>
      <c r="O25" s="33"/>
      <c r="P25" s="33"/>
      <c r="Q25" s="175">
        <f t="shared" si="2"/>
        <v>230.32650000000001</v>
      </c>
      <c r="R25" s="47"/>
    </row>
    <row r="26" spans="1:18">
      <c r="A26" s="176" t="s">
        <v>31</v>
      </c>
      <c r="B26" s="307"/>
      <c r="C26" s="177" t="s">
        <v>13</v>
      </c>
      <c r="D26" s="53">
        <v>9012.0274536784964</v>
      </c>
      <c r="E26" s="53">
        <v>3526.2860000000001</v>
      </c>
      <c r="F26" s="178">
        <f t="shared" si="0"/>
        <v>12538.313453678496</v>
      </c>
      <c r="G26" s="78">
        <v>184004.71599999999</v>
      </c>
      <c r="H26" s="78">
        <v>98.28</v>
      </c>
      <c r="I26" s="179"/>
      <c r="J26" s="178">
        <f t="shared" si="1"/>
        <v>98.28</v>
      </c>
      <c r="K26" s="78"/>
      <c r="L26" s="54">
        <v>92.620999999999995</v>
      </c>
      <c r="M26" s="54"/>
      <c r="N26" s="54"/>
      <c r="O26" s="54"/>
      <c r="P26" s="54"/>
      <c r="Q26" s="180">
        <f t="shared" si="2"/>
        <v>196733.93045367851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24.114000000000001</v>
      </c>
      <c r="E27" s="52">
        <v>13.082000000000001</v>
      </c>
      <c r="F27" s="181">
        <f t="shared" si="0"/>
        <v>37.195999999999998</v>
      </c>
      <c r="G27" s="77">
        <v>26.087299999999999</v>
      </c>
      <c r="H27" s="77">
        <v>0.98699999999999999</v>
      </c>
      <c r="I27" s="174"/>
      <c r="J27" s="181">
        <f t="shared" si="1"/>
        <v>0.98699999999999999</v>
      </c>
      <c r="K27" s="138">
        <v>0.04</v>
      </c>
      <c r="L27" s="33"/>
      <c r="M27" s="33"/>
      <c r="N27" s="33"/>
      <c r="O27" s="33"/>
      <c r="P27" s="33"/>
      <c r="Q27" s="175">
        <f t="shared" si="2"/>
        <v>64.310299999999998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9589.2010443073632</v>
      </c>
      <c r="E28" s="53">
        <v>5782.2219999999998</v>
      </c>
      <c r="F28" s="178">
        <f t="shared" si="0"/>
        <v>15371.423044307363</v>
      </c>
      <c r="G28" s="78">
        <v>11566.566999999999</v>
      </c>
      <c r="H28" s="78">
        <v>34.182000000000002</v>
      </c>
      <c r="I28" s="179"/>
      <c r="J28" s="178">
        <f t="shared" si="1"/>
        <v>34.182000000000002</v>
      </c>
      <c r="K28" s="78">
        <v>45.792000000000002</v>
      </c>
      <c r="L28" s="54"/>
      <c r="M28" s="54"/>
      <c r="N28" s="54"/>
      <c r="O28" s="54"/>
      <c r="P28" s="54"/>
      <c r="Q28" s="180">
        <f t="shared" si="2"/>
        <v>27017.964044307366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f t="shared" ref="D29:D30" si="10">D25+D27</f>
        <v>36.710999999999999</v>
      </c>
      <c r="E29" s="33">
        <f t="shared" ref="E29:E30" si="11">+E25+E27</f>
        <v>18.074000000000002</v>
      </c>
      <c r="F29" s="181">
        <f t="shared" si="0"/>
        <v>54.784999999999997</v>
      </c>
      <c r="G29" s="49">
        <f t="shared" ref="G29:G30" si="12">+G25+G27</f>
        <v>238.6208</v>
      </c>
      <c r="H29" s="49">
        <f>+H25+H27</f>
        <v>1.0780000000000001</v>
      </c>
      <c r="I29" s="50"/>
      <c r="J29" s="181">
        <f t="shared" si="1"/>
        <v>1.0780000000000001</v>
      </c>
      <c r="K29" s="49">
        <f t="shared" ref="K29:L30" si="13">+K25+K27</f>
        <v>0.04</v>
      </c>
      <c r="L29" s="33">
        <f t="shared" si="13"/>
        <v>0.113</v>
      </c>
      <c r="M29" s="55"/>
      <c r="N29" s="33"/>
      <c r="O29" s="33"/>
      <c r="P29" s="33"/>
      <c r="Q29" s="175">
        <f t="shared" si="2"/>
        <v>294.63679999999999</v>
      </c>
      <c r="R29" s="47"/>
    </row>
    <row r="30" spans="1:18">
      <c r="A30" s="183"/>
      <c r="B30" s="309"/>
      <c r="C30" s="177" t="s">
        <v>13</v>
      </c>
      <c r="D30" s="54">
        <f t="shared" si="10"/>
        <v>18601.22849798586</v>
      </c>
      <c r="E30" s="54">
        <f t="shared" si="11"/>
        <v>9308.5079999999998</v>
      </c>
      <c r="F30" s="178">
        <f t="shared" si="0"/>
        <v>27909.736497985861</v>
      </c>
      <c r="G30" s="68">
        <f t="shared" si="12"/>
        <v>195571.283</v>
      </c>
      <c r="H30" s="68">
        <f>+H26+H28</f>
        <v>132.46199999999999</v>
      </c>
      <c r="I30" s="63"/>
      <c r="J30" s="178">
        <f t="shared" si="1"/>
        <v>132.46199999999999</v>
      </c>
      <c r="K30" s="68">
        <f t="shared" si="13"/>
        <v>45.792000000000002</v>
      </c>
      <c r="L30" s="54">
        <f t="shared" si="13"/>
        <v>92.620999999999995</v>
      </c>
      <c r="M30" s="68"/>
      <c r="N30" s="54"/>
      <c r="O30" s="54"/>
      <c r="P30" s="54"/>
      <c r="Q30" s="180">
        <f t="shared" si="2"/>
        <v>223751.89449798586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4.3299999999999998E-2</v>
      </c>
      <c r="E31" s="52">
        <v>0.53769999999999996</v>
      </c>
      <c r="F31" s="181">
        <f t="shared" si="0"/>
        <v>0.58099999999999996</v>
      </c>
      <c r="G31" s="77">
        <v>0.13139999999999999</v>
      </c>
      <c r="H31" s="77">
        <v>808.43100000000004</v>
      </c>
      <c r="I31" s="174"/>
      <c r="J31" s="181">
        <f t="shared" si="1"/>
        <v>808.43100000000004</v>
      </c>
      <c r="K31" s="77">
        <v>155.6473</v>
      </c>
      <c r="L31" s="33">
        <v>1.9554</v>
      </c>
      <c r="M31" s="33"/>
      <c r="N31" s="33"/>
      <c r="O31" s="33"/>
      <c r="P31" s="33"/>
      <c r="Q31" s="175">
        <f t="shared" si="2"/>
        <v>966.74610000000007</v>
      </c>
      <c r="R31" s="47"/>
    </row>
    <row r="32" spans="1:18">
      <c r="A32" s="176" t="s">
        <v>36</v>
      </c>
      <c r="B32" s="307"/>
      <c r="C32" s="177" t="s">
        <v>13</v>
      </c>
      <c r="D32" s="53">
        <v>5.7509999066253457</v>
      </c>
      <c r="E32" s="53">
        <v>84.284999999999997</v>
      </c>
      <c r="F32" s="178">
        <f t="shared" si="0"/>
        <v>90.035999906625335</v>
      </c>
      <c r="G32" s="78">
        <v>51.3</v>
      </c>
      <c r="H32" s="78">
        <v>148244.83900000001</v>
      </c>
      <c r="I32" s="179"/>
      <c r="J32" s="178">
        <f t="shared" si="1"/>
        <v>148244.83900000001</v>
      </c>
      <c r="K32" s="78">
        <v>16363.119000000001</v>
      </c>
      <c r="L32" s="54">
        <v>260.95499999999998</v>
      </c>
      <c r="M32" s="54"/>
      <c r="N32" s="54"/>
      <c r="O32" s="54"/>
      <c r="P32" s="54"/>
      <c r="Q32" s="180">
        <f t="shared" si="2"/>
        <v>165010.24899990662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4.0000000000000001E-3</v>
      </c>
      <c r="E33" s="52">
        <v>7.8E-2</v>
      </c>
      <c r="F33" s="181">
        <f t="shared" si="0"/>
        <v>8.2000000000000003E-2</v>
      </c>
      <c r="G33" s="77"/>
      <c r="H33" s="77">
        <v>10.7652</v>
      </c>
      <c r="I33" s="174"/>
      <c r="J33" s="181">
        <f t="shared" si="1"/>
        <v>10.7652</v>
      </c>
      <c r="K33" s="77">
        <v>2.1934999999999998</v>
      </c>
      <c r="L33" s="33">
        <v>0.318</v>
      </c>
      <c r="M33" s="33"/>
      <c r="N33" s="33"/>
      <c r="O33" s="33"/>
      <c r="P33" s="33"/>
      <c r="Q33" s="175">
        <f t="shared" si="2"/>
        <v>13.358700000000001</v>
      </c>
      <c r="R33" s="47"/>
    </row>
    <row r="34" spans="1:18">
      <c r="A34" s="176" t="s">
        <v>38</v>
      </c>
      <c r="B34" s="307"/>
      <c r="C34" s="177" t="s">
        <v>13</v>
      </c>
      <c r="D34" s="53">
        <v>0.86399998597188288</v>
      </c>
      <c r="E34" s="53">
        <v>13.824</v>
      </c>
      <c r="F34" s="178">
        <f t="shared" si="0"/>
        <v>14.687999985971883</v>
      </c>
      <c r="G34" s="78"/>
      <c r="H34" s="78">
        <v>1846.163</v>
      </c>
      <c r="I34" s="179"/>
      <c r="J34" s="178">
        <f t="shared" si="1"/>
        <v>1846.163</v>
      </c>
      <c r="K34" s="78">
        <v>101.943</v>
      </c>
      <c r="L34" s="54">
        <v>56.03</v>
      </c>
      <c r="M34" s="54"/>
      <c r="N34" s="54"/>
      <c r="O34" s="54"/>
      <c r="P34" s="54"/>
      <c r="Q34" s="180">
        <f t="shared" si="2"/>
        <v>2018.8239999859718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323.73</v>
      </c>
      <c r="I35" s="174"/>
      <c r="J35" s="181">
        <f t="shared" si="1"/>
        <v>323.73</v>
      </c>
      <c r="K35" s="77">
        <v>33.558</v>
      </c>
      <c r="L35" s="33">
        <v>1E-3</v>
      </c>
      <c r="M35" s="33"/>
      <c r="N35" s="33"/>
      <c r="O35" s="33"/>
      <c r="P35" s="33"/>
      <c r="Q35" s="175">
        <f t="shared" si="2"/>
        <v>357.28899999999999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17446.911</v>
      </c>
      <c r="I36" s="179"/>
      <c r="J36" s="178">
        <f t="shared" si="1"/>
        <v>17446.911</v>
      </c>
      <c r="K36" s="78">
        <v>1581.2329999999999</v>
      </c>
      <c r="L36" s="54">
        <v>0.64800000000000002</v>
      </c>
      <c r="M36" s="54"/>
      <c r="N36" s="54"/>
      <c r="O36" s="54"/>
      <c r="P36" s="54"/>
      <c r="Q36" s="180">
        <f t="shared" si="2"/>
        <v>19028.792000000001</v>
      </c>
      <c r="R36" s="47"/>
    </row>
    <row r="37" spans="1:18">
      <c r="A37" s="27"/>
      <c r="B37" s="308" t="s">
        <v>19</v>
      </c>
      <c r="C37" s="48" t="s">
        <v>11</v>
      </c>
      <c r="D37" s="33">
        <f t="shared" ref="D37:D38" si="14">D31+D33+D35</f>
        <v>4.7299999999999995E-2</v>
      </c>
      <c r="E37" s="33">
        <f t="shared" ref="E37:E38" si="15">+E31+E33+E35</f>
        <v>0.61569999999999991</v>
      </c>
      <c r="F37" s="181">
        <f t="shared" si="0"/>
        <v>0.66299999999999992</v>
      </c>
      <c r="G37" s="49">
        <f t="shared" ref="G37:H38" si="16">+G31+G33+G35</f>
        <v>0.13139999999999999</v>
      </c>
      <c r="H37" s="49">
        <f t="shared" si="16"/>
        <v>1142.9262000000001</v>
      </c>
      <c r="I37" s="50"/>
      <c r="J37" s="181">
        <f t="shared" si="1"/>
        <v>1142.9262000000001</v>
      </c>
      <c r="K37" s="49">
        <f t="shared" ref="K37:L38" si="17">+K31+K33+K35</f>
        <v>191.39879999999999</v>
      </c>
      <c r="L37" s="33">
        <f t="shared" si="17"/>
        <v>2.2744</v>
      </c>
      <c r="M37" s="33"/>
      <c r="N37" s="33"/>
      <c r="O37" s="33"/>
      <c r="P37" s="33"/>
      <c r="Q37" s="175">
        <f t="shared" si="2"/>
        <v>1337.3938000000001</v>
      </c>
      <c r="R37" s="47"/>
    </row>
    <row r="38" spans="1:18">
      <c r="A38" s="183"/>
      <c r="B38" s="309"/>
      <c r="C38" s="177" t="s">
        <v>13</v>
      </c>
      <c r="D38" s="54">
        <f t="shared" si="14"/>
        <v>6.6149998925972282</v>
      </c>
      <c r="E38" s="54">
        <f t="shared" si="15"/>
        <v>98.108999999999995</v>
      </c>
      <c r="F38" s="178">
        <f t="shared" si="0"/>
        <v>104.72399989259722</v>
      </c>
      <c r="G38" s="68">
        <f t="shared" si="16"/>
        <v>51.3</v>
      </c>
      <c r="H38" s="68">
        <f t="shared" si="16"/>
        <v>167537.913</v>
      </c>
      <c r="I38" s="63"/>
      <c r="J38" s="178">
        <f t="shared" si="1"/>
        <v>167537.913</v>
      </c>
      <c r="K38" s="68">
        <f t="shared" si="17"/>
        <v>18046.295000000002</v>
      </c>
      <c r="L38" s="54">
        <f t="shared" si="17"/>
        <v>317.63300000000004</v>
      </c>
      <c r="M38" s="54"/>
      <c r="N38" s="54"/>
      <c r="O38" s="54"/>
      <c r="P38" s="54"/>
      <c r="Q38" s="180">
        <f t="shared" si="2"/>
        <v>186057.8649998926</v>
      </c>
      <c r="R38" s="47"/>
    </row>
    <row r="39" spans="1:18">
      <c r="A39" s="310" t="s">
        <v>40</v>
      </c>
      <c r="B39" s="311"/>
      <c r="C39" s="48" t="s">
        <v>11</v>
      </c>
      <c r="D39" s="52">
        <v>9.1800000000000007E-2</v>
      </c>
      <c r="E39" s="52">
        <v>0.23400000000000001</v>
      </c>
      <c r="F39" s="181">
        <f t="shared" si="0"/>
        <v>0.32580000000000003</v>
      </c>
      <c r="G39" s="77">
        <v>0.48209999999999997</v>
      </c>
      <c r="H39" s="77">
        <v>125.49120000000001</v>
      </c>
      <c r="I39" s="174"/>
      <c r="J39" s="181">
        <f t="shared" si="1"/>
        <v>125.49120000000001</v>
      </c>
      <c r="K39" s="77">
        <v>61.994700000000002</v>
      </c>
      <c r="L39" s="33">
        <v>0.23719999999999999</v>
      </c>
      <c r="M39" s="33"/>
      <c r="N39" s="33">
        <v>8.0299999999999996E-2</v>
      </c>
      <c r="O39" s="33"/>
      <c r="P39" s="33">
        <v>0.40949999999999998</v>
      </c>
      <c r="Q39" s="175">
        <f t="shared" si="2"/>
        <v>189.02080000000001</v>
      </c>
      <c r="R39" s="47"/>
    </row>
    <row r="40" spans="1:18">
      <c r="A40" s="312"/>
      <c r="B40" s="313"/>
      <c r="C40" s="177" t="s">
        <v>13</v>
      </c>
      <c r="D40" s="53">
        <v>73.148398812344539</v>
      </c>
      <c r="E40" s="53">
        <v>74.212999999999994</v>
      </c>
      <c r="F40" s="178">
        <f t="shared" si="0"/>
        <v>147.36139881234453</v>
      </c>
      <c r="G40" s="78">
        <v>194.72499999999999</v>
      </c>
      <c r="H40" s="78">
        <v>50641.226999999999</v>
      </c>
      <c r="I40" s="179"/>
      <c r="J40" s="178">
        <f t="shared" si="1"/>
        <v>50641.226999999999</v>
      </c>
      <c r="K40" s="78">
        <v>30085.974999999999</v>
      </c>
      <c r="L40" s="54">
        <v>89.626999999999995</v>
      </c>
      <c r="M40" s="54"/>
      <c r="N40" s="54">
        <v>17.177</v>
      </c>
      <c r="O40" s="54"/>
      <c r="P40" s="54">
        <f>107.06*1.08</f>
        <v>115.62480000000001</v>
      </c>
      <c r="Q40" s="180">
        <f t="shared" si="2"/>
        <v>81291.717198812345</v>
      </c>
      <c r="R40" s="47"/>
    </row>
    <row r="41" spans="1:18">
      <c r="A41" s="310" t="s">
        <v>41</v>
      </c>
      <c r="B41" s="311"/>
      <c r="C41" s="48" t="s">
        <v>11</v>
      </c>
      <c r="D41" s="52">
        <v>0.62570000000000003</v>
      </c>
      <c r="E41" s="52">
        <v>2.1700000000000001E-2</v>
      </c>
      <c r="F41" s="181">
        <f t="shared" si="0"/>
        <v>0.64740000000000009</v>
      </c>
      <c r="G41" s="77">
        <v>45.007199999999997</v>
      </c>
      <c r="H41" s="77">
        <v>46.052399999999999</v>
      </c>
      <c r="I41" s="174"/>
      <c r="J41" s="181">
        <f t="shared" si="1"/>
        <v>46.052399999999999</v>
      </c>
      <c r="K41" s="77">
        <v>81.207099999999997</v>
      </c>
      <c r="L41" s="33">
        <v>18.436199999999999</v>
      </c>
      <c r="M41" s="33"/>
      <c r="N41" s="33">
        <v>0.1535</v>
      </c>
      <c r="O41" s="33">
        <v>2.5999999999999999E-3</v>
      </c>
      <c r="P41" s="33">
        <v>0.21920000000000001</v>
      </c>
      <c r="Q41" s="175">
        <f t="shared" si="2"/>
        <v>191.72560000000001</v>
      </c>
      <c r="R41" s="47"/>
    </row>
    <row r="42" spans="1:18">
      <c r="A42" s="312"/>
      <c r="B42" s="313"/>
      <c r="C42" s="177" t="s">
        <v>13</v>
      </c>
      <c r="D42" s="53">
        <v>624.95278985311211</v>
      </c>
      <c r="E42" s="53">
        <v>13.904999999999999</v>
      </c>
      <c r="F42" s="178">
        <f t="shared" si="0"/>
        <v>638.85778985311208</v>
      </c>
      <c r="G42" s="78">
        <v>4307.7640000000001</v>
      </c>
      <c r="H42" s="78">
        <v>9450.0360000000001</v>
      </c>
      <c r="I42" s="179"/>
      <c r="J42" s="178">
        <f t="shared" si="1"/>
        <v>9450.0360000000001</v>
      </c>
      <c r="K42" s="78">
        <v>9240.7639999999992</v>
      </c>
      <c r="L42" s="54">
        <v>806.46400000000006</v>
      </c>
      <c r="M42" s="54"/>
      <c r="N42" s="54">
        <v>14.896000000000001</v>
      </c>
      <c r="O42" s="54">
        <v>0.14000000000000001</v>
      </c>
      <c r="P42" s="54">
        <f>6.897*1.08</f>
        <v>7.4487600000000009</v>
      </c>
      <c r="Q42" s="180">
        <f t="shared" si="2"/>
        <v>24466.370549853113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/>
      <c r="H45" s="77">
        <v>1.4E-3</v>
      </c>
      <c r="I45" s="174"/>
      <c r="J45" s="181">
        <f t="shared" si="1"/>
        <v>1.4E-3</v>
      </c>
      <c r="K45" s="77"/>
      <c r="L45" s="33"/>
      <c r="M45" s="33"/>
      <c r="N45" s="33"/>
      <c r="O45" s="33"/>
      <c r="P45" s="33"/>
      <c r="Q45" s="175">
        <f t="shared" si="2"/>
        <v>1.4E-3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/>
      <c r="H46" s="78">
        <v>1.512</v>
      </c>
      <c r="I46" s="179"/>
      <c r="J46" s="178">
        <f t="shared" si="1"/>
        <v>1.512</v>
      </c>
      <c r="K46" s="78"/>
      <c r="L46" s="54"/>
      <c r="M46" s="54"/>
      <c r="N46" s="54"/>
      <c r="O46" s="54"/>
      <c r="P46" s="54"/>
      <c r="Q46" s="180">
        <f t="shared" si="2"/>
        <v>1.512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>
        <v>0</v>
      </c>
      <c r="H47" s="77">
        <v>3.4799999999999998E-2</v>
      </c>
      <c r="I47" s="174"/>
      <c r="J47" s="181">
        <f t="shared" si="1"/>
        <v>3.4799999999999998E-2</v>
      </c>
      <c r="K47" s="77">
        <v>2.5000000000000001E-3</v>
      </c>
      <c r="L47" s="33"/>
      <c r="M47" s="33"/>
      <c r="N47" s="33"/>
      <c r="O47" s="33"/>
      <c r="P47" s="33"/>
      <c r="Q47" s="175">
        <f t="shared" si="2"/>
        <v>3.73E-2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>
        <v>1.08</v>
      </c>
      <c r="H48" s="78">
        <v>29.704000000000001</v>
      </c>
      <c r="I48" s="179"/>
      <c r="J48" s="178">
        <f t="shared" si="1"/>
        <v>29.704000000000001</v>
      </c>
      <c r="K48" s="78">
        <v>0.54</v>
      </c>
      <c r="L48" s="54"/>
      <c r="M48" s="54"/>
      <c r="N48" s="54"/>
      <c r="O48" s="54"/>
      <c r="P48" s="54"/>
      <c r="Q48" s="180">
        <f t="shared" si="2"/>
        <v>31.323999999999998</v>
      </c>
      <c r="R48" s="47"/>
    </row>
    <row r="49" spans="1:18">
      <c r="A49" s="310" t="s">
        <v>45</v>
      </c>
      <c r="B49" s="311"/>
      <c r="C49" s="48" t="s">
        <v>11</v>
      </c>
      <c r="D49" s="52">
        <v>0.24940000000000001</v>
      </c>
      <c r="E49" s="52">
        <v>185.07400000000001</v>
      </c>
      <c r="F49" s="181">
        <f t="shared" si="0"/>
        <v>185.32340000000002</v>
      </c>
      <c r="G49" s="77">
        <v>113.5376</v>
      </c>
      <c r="H49" s="77">
        <v>1796.3671999999999</v>
      </c>
      <c r="I49" s="174"/>
      <c r="J49" s="181">
        <f t="shared" si="1"/>
        <v>1796.3671999999999</v>
      </c>
      <c r="K49" s="77">
        <v>207.19130000000001</v>
      </c>
      <c r="L49" s="33">
        <v>7.7938999999999998</v>
      </c>
      <c r="M49" s="33"/>
      <c r="N49" s="33">
        <v>2.8159999999999998</v>
      </c>
      <c r="O49" s="33"/>
      <c r="P49" s="33">
        <v>3.6</v>
      </c>
      <c r="Q49" s="175">
        <f t="shared" si="2"/>
        <v>2316.6293999999998</v>
      </c>
      <c r="R49" s="47"/>
    </row>
    <row r="50" spans="1:18">
      <c r="A50" s="312"/>
      <c r="B50" s="313"/>
      <c r="C50" s="177" t="s">
        <v>13</v>
      </c>
      <c r="D50" s="53">
        <v>131.92199785808188</v>
      </c>
      <c r="E50" s="53">
        <v>14777.907999999999</v>
      </c>
      <c r="F50" s="178">
        <f t="shared" si="0"/>
        <v>14909.829997858082</v>
      </c>
      <c r="G50" s="78">
        <v>11233.096</v>
      </c>
      <c r="H50" s="78">
        <v>171732.06200000001</v>
      </c>
      <c r="I50" s="179"/>
      <c r="J50" s="178">
        <f t="shared" si="1"/>
        <v>171732.06200000001</v>
      </c>
      <c r="K50" s="78">
        <v>23979.077000000001</v>
      </c>
      <c r="L50" s="54">
        <v>681.11300000000006</v>
      </c>
      <c r="M50" s="54"/>
      <c r="N50" s="54">
        <v>48.405999999999999</v>
      </c>
      <c r="O50" s="54"/>
      <c r="P50" s="54">
        <f>1921.55*1.08</f>
        <v>2075.2739999999999</v>
      </c>
      <c r="Q50" s="180">
        <f t="shared" si="2"/>
        <v>224658.85799785808</v>
      </c>
      <c r="R50" s="47"/>
    </row>
    <row r="51" spans="1:18">
      <c r="A51" s="310" t="s">
        <v>46</v>
      </c>
      <c r="B51" s="311"/>
      <c r="C51" s="48" t="s">
        <v>11</v>
      </c>
      <c r="D51" s="52">
        <v>13.025</v>
      </c>
      <c r="E51" s="52">
        <v>16.035</v>
      </c>
      <c r="F51" s="181">
        <f t="shared" si="0"/>
        <v>29.060000000000002</v>
      </c>
      <c r="G51" s="77">
        <v>4468.0239000000001</v>
      </c>
      <c r="H51" s="77">
        <v>19.795999999999999</v>
      </c>
      <c r="I51" s="174"/>
      <c r="J51" s="181">
        <f t="shared" si="1"/>
        <v>19.795999999999999</v>
      </c>
      <c r="K51" s="77">
        <v>3706.5569999999998</v>
      </c>
      <c r="L51" s="33">
        <v>0.22500000000000001</v>
      </c>
      <c r="M51" s="33"/>
      <c r="N51" s="33"/>
      <c r="O51" s="33"/>
      <c r="P51" s="33"/>
      <c r="Q51" s="175">
        <f t="shared" si="2"/>
        <v>8223.661900000001</v>
      </c>
      <c r="R51" s="47"/>
    </row>
    <row r="52" spans="1:18">
      <c r="A52" s="312"/>
      <c r="B52" s="313"/>
      <c r="C52" s="177" t="s">
        <v>13</v>
      </c>
      <c r="D52" s="53">
        <v>6074.5247013725175</v>
      </c>
      <c r="E52" s="53">
        <v>9452.7579999999998</v>
      </c>
      <c r="F52" s="178">
        <f t="shared" si="0"/>
        <v>15527.282701372518</v>
      </c>
      <c r="G52" s="78">
        <v>747798.53700000001</v>
      </c>
      <c r="H52" s="78">
        <v>9615.6319999999996</v>
      </c>
      <c r="I52" s="179"/>
      <c r="J52" s="178">
        <f t="shared" si="1"/>
        <v>9615.6319999999996</v>
      </c>
      <c r="K52" s="78">
        <v>639561.22</v>
      </c>
      <c r="L52" s="54">
        <v>120.96</v>
      </c>
      <c r="M52" s="54"/>
      <c r="N52" s="54"/>
      <c r="O52" s="54"/>
      <c r="P52" s="54"/>
      <c r="Q52" s="180">
        <f t="shared" si="2"/>
        <v>1412623.6317013726</v>
      </c>
      <c r="R52" s="47"/>
    </row>
    <row r="53" spans="1:18">
      <c r="A53" s="310" t="s">
        <v>47</v>
      </c>
      <c r="B53" s="311"/>
      <c r="C53" s="48" t="s">
        <v>11</v>
      </c>
      <c r="D53" s="52">
        <v>1.8599999999999998E-2</v>
      </c>
      <c r="E53" s="52">
        <v>1.3066</v>
      </c>
      <c r="F53" s="181">
        <f t="shared" si="0"/>
        <v>1.3251999999999999</v>
      </c>
      <c r="G53" s="77">
        <v>35.807600000000001</v>
      </c>
      <c r="H53" s="77">
        <v>229.32079999999999</v>
      </c>
      <c r="I53" s="174"/>
      <c r="J53" s="181">
        <f t="shared" si="1"/>
        <v>229.32079999999999</v>
      </c>
      <c r="K53" s="77">
        <v>16.405200000000001</v>
      </c>
      <c r="L53" s="33">
        <v>172.9752</v>
      </c>
      <c r="M53" s="33"/>
      <c r="N53" s="33">
        <v>5.8999999999999997E-2</v>
      </c>
      <c r="O53" s="33">
        <v>3.1800000000000002E-2</v>
      </c>
      <c r="P53" s="33">
        <v>2.8999999999999998E-3</v>
      </c>
      <c r="Q53" s="175">
        <f t="shared" si="2"/>
        <v>455.92769999999996</v>
      </c>
      <c r="R53" s="47"/>
    </row>
    <row r="54" spans="1:18">
      <c r="A54" s="312"/>
      <c r="B54" s="313"/>
      <c r="C54" s="177" t="s">
        <v>13</v>
      </c>
      <c r="D54" s="53">
        <v>2.5109999592307846</v>
      </c>
      <c r="E54" s="53">
        <v>574.43799999999999</v>
      </c>
      <c r="F54" s="178">
        <f t="shared" si="0"/>
        <v>576.94899995923072</v>
      </c>
      <c r="G54" s="78">
        <v>13223.103999999999</v>
      </c>
      <c r="H54" s="78">
        <v>84581.759999999995</v>
      </c>
      <c r="I54" s="179"/>
      <c r="J54" s="178">
        <f t="shared" si="1"/>
        <v>84581.759999999995</v>
      </c>
      <c r="K54" s="78">
        <v>6350.8450000000003</v>
      </c>
      <c r="L54" s="54">
        <v>64465.184999999998</v>
      </c>
      <c r="M54" s="54"/>
      <c r="N54" s="54">
        <v>28.213999999999999</v>
      </c>
      <c r="O54" s="54">
        <v>9.31</v>
      </c>
      <c r="P54" s="54">
        <f>0.58*1.08</f>
        <v>0.62639999999999996</v>
      </c>
      <c r="Q54" s="180">
        <f t="shared" si="2"/>
        <v>169235.99339995923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0.72789999999999999</v>
      </c>
      <c r="E55" s="52"/>
      <c r="F55" s="181">
        <f t="shared" si="0"/>
        <v>0.72789999999999999</v>
      </c>
      <c r="G55" s="77">
        <v>9.2999999999999992E-3</v>
      </c>
      <c r="H55" s="77">
        <v>52.860399999999998</v>
      </c>
      <c r="I55" s="174"/>
      <c r="J55" s="181">
        <f t="shared" si="1"/>
        <v>52.860399999999998</v>
      </c>
      <c r="K55" s="77">
        <v>2.8292999999999999</v>
      </c>
      <c r="L55" s="33">
        <v>8.3000000000000001E-3</v>
      </c>
      <c r="M55" s="33"/>
      <c r="N55" s="33">
        <v>8.8800000000000004E-2</v>
      </c>
      <c r="O55" s="33">
        <v>8.4500000000000006E-2</v>
      </c>
      <c r="P55" s="33">
        <v>0.56769999999999998</v>
      </c>
      <c r="Q55" s="175">
        <f t="shared" si="2"/>
        <v>57.176200000000001</v>
      </c>
      <c r="R55" s="47"/>
    </row>
    <row r="56" spans="1:18">
      <c r="A56" s="176" t="s">
        <v>36</v>
      </c>
      <c r="B56" s="307"/>
      <c r="C56" s="177" t="s">
        <v>13</v>
      </c>
      <c r="D56" s="53">
        <v>623.65678987415436</v>
      </c>
      <c r="E56" s="53"/>
      <c r="F56" s="178">
        <f t="shared" si="0"/>
        <v>623.65678987415436</v>
      </c>
      <c r="G56" s="78">
        <v>22.443999999999999</v>
      </c>
      <c r="H56" s="78">
        <v>18785.056</v>
      </c>
      <c r="I56" s="179"/>
      <c r="J56" s="178">
        <f t="shared" si="1"/>
        <v>18785.056</v>
      </c>
      <c r="K56" s="78">
        <v>987.49900000000002</v>
      </c>
      <c r="L56" s="54">
        <v>10.141</v>
      </c>
      <c r="M56" s="54"/>
      <c r="N56" s="54">
        <v>52.737000000000002</v>
      </c>
      <c r="O56" s="54">
        <v>43.039000000000001</v>
      </c>
      <c r="P56" s="54">
        <f>351.515*1.08</f>
        <v>379.63620000000003</v>
      </c>
      <c r="Q56" s="180">
        <f t="shared" si="2"/>
        <v>20904.208989874158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9.7371999999999996</v>
      </c>
      <c r="E57" s="52">
        <v>0.35780000000000001</v>
      </c>
      <c r="F57" s="181">
        <f t="shared" si="0"/>
        <v>10.094999999999999</v>
      </c>
      <c r="G57" s="77">
        <v>3.6499999999999998E-2</v>
      </c>
      <c r="H57" s="77">
        <v>1.9964</v>
      </c>
      <c r="I57" s="174"/>
      <c r="J57" s="181">
        <f t="shared" si="1"/>
        <v>1.9964</v>
      </c>
      <c r="K57" s="77">
        <v>0.38269999999999998</v>
      </c>
      <c r="L57" s="33">
        <v>0.40870000000000001</v>
      </c>
      <c r="M57" s="33"/>
      <c r="N57" s="33">
        <v>2.5399999999999999E-2</v>
      </c>
      <c r="O57" s="33">
        <v>3.8999999999999998E-3</v>
      </c>
      <c r="P57" s="33">
        <v>0.2336</v>
      </c>
      <c r="Q57" s="175">
        <f t="shared" si="2"/>
        <v>13.182199999999996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870.79210586160434</v>
      </c>
      <c r="E58" s="53">
        <v>159.91399999999999</v>
      </c>
      <c r="F58" s="178">
        <f t="shared" si="0"/>
        <v>1030.7061058616043</v>
      </c>
      <c r="G58" s="78">
        <v>38.848999999999997</v>
      </c>
      <c r="H58" s="78">
        <v>1240.7249999999999</v>
      </c>
      <c r="I58" s="179"/>
      <c r="J58" s="178">
        <f t="shared" si="1"/>
        <v>1240.7249999999999</v>
      </c>
      <c r="K58" s="78">
        <v>154.53700000000001</v>
      </c>
      <c r="L58" s="54">
        <v>76.195999999999998</v>
      </c>
      <c r="M58" s="54"/>
      <c r="N58" s="54">
        <v>20.411999999999999</v>
      </c>
      <c r="O58" s="54">
        <v>7.7110000000000003</v>
      </c>
      <c r="P58" s="54">
        <f>82.63*1.08</f>
        <v>89.240399999999994</v>
      </c>
      <c r="Q58" s="180">
        <f t="shared" si="2"/>
        <v>2658.3765058616036</v>
      </c>
      <c r="R58" s="47"/>
    </row>
    <row r="59" spans="1:18">
      <c r="A59" s="27"/>
      <c r="B59" s="308" t="s">
        <v>19</v>
      </c>
      <c r="C59" s="48" t="s">
        <v>11</v>
      </c>
      <c r="D59" s="33">
        <f t="shared" ref="D59:D60" si="18">D55+D57</f>
        <v>10.4651</v>
      </c>
      <c r="E59" s="33">
        <f t="shared" ref="E59:E60" si="19">+E55+E57</f>
        <v>0.35780000000000001</v>
      </c>
      <c r="F59" s="181">
        <f t="shared" si="0"/>
        <v>10.822899999999999</v>
      </c>
      <c r="G59" s="49">
        <f t="shared" ref="G59:G60" si="20">+G55+G57</f>
        <v>4.5799999999999993E-2</v>
      </c>
      <c r="H59" s="49">
        <f>+H55+H57</f>
        <v>54.8568</v>
      </c>
      <c r="I59" s="50"/>
      <c r="J59" s="181">
        <f t="shared" si="1"/>
        <v>54.8568</v>
      </c>
      <c r="K59" s="49">
        <f>+K55+K57</f>
        <v>3.2119999999999997</v>
      </c>
      <c r="L59" s="33">
        <f>+L55+L57</f>
        <v>0.41699999999999998</v>
      </c>
      <c r="M59" s="33"/>
      <c r="N59" s="33">
        <f t="shared" ref="N59:P60" si="21">+N55+N57</f>
        <v>0.1142</v>
      </c>
      <c r="O59" s="33">
        <f t="shared" si="21"/>
        <v>8.8400000000000006E-2</v>
      </c>
      <c r="P59" s="33">
        <f t="shared" si="21"/>
        <v>0.80130000000000001</v>
      </c>
      <c r="Q59" s="175">
        <f t="shared" si="2"/>
        <v>70.358399999999989</v>
      </c>
      <c r="R59" s="47"/>
    </row>
    <row r="60" spans="1:18">
      <c r="A60" s="183"/>
      <c r="B60" s="309"/>
      <c r="C60" s="177" t="s">
        <v>13</v>
      </c>
      <c r="D60" s="54">
        <f t="shared" si="18"/>
        <v>1494.4488957357587</v>
      </c>
      <c r="E60" s="54">
        <f t="shared" si="19"/>
        <v>159.91399999999999</v>
      </c>
      <c r="F60" s="178">
        <f t="shared" si="0"/>
        <v>1654.3628957357587</v>
      </c>
      <c r="G60" s="68">
        <f t="shared" si="20"/>
        <v>61.292999999999992</v>
      </c>
      <c r="H60" s="68">
        <f>+H56+H58</f>
        <v>20025.780999999999</v>
      </c>
      <c r="I60" s="63"/>
      <c r="J60" s="178">
        <f t="shared" si="1"/>
        <v>20025.780999999999</v>
      </c>
      <c r="K60" s="68">
        <f>+K56+K58</f>
        <v>1142.0360000000001</v>
      </c>
      <c r="L60" s="54">
        <f>+L56+L58</f>
        <v>86.337000000000003</v>
      </c>
      <c r="M60" s="54"/>
      <c r="N60" s="54">
        <f t="shared" si="21"/>
        <v>73.149000000000001</v>
      </c>
      <c r="O60" s="54">
        <f t="shared" si="21"/>
        <v>50.75</v>
      </c>
      <c r="P60" s="54">
        <f t="shared" si="21"/>
        <v>468.87660000000005</v>
      </c>
      <c r="Q60" s="180">
        <f t="shared" si="2"/>
        <v>23562.585495735759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0.42659999999999998</v>
      </c>
      <c r="E61" s="52"/>
      <c r="F61" s="181">
        <f t="shared" si="0"/>
        <v>0.42659999999999998</v>
      </c>
      <c r="G61" s="77">
        <v>0.70650000000000002</v>
      </c>
      <c r="H61" s="77">
        <v>9.875</v>
      </c>
      <c r="I61" s="174"/>
      <c r="J61" s="181">
        <f t="shared" si="1"/>
        <v>9.875</v>
      </c>
      <c r="K61" s="77"/>
      <c r="L61" s="33">
        <v>2.2155</v>
      </c>
      <c r="M61" s="33"/>
      <c r="N61" s="33"/>
      <c r="O61" s="33"/>
      <c r="P61" s="33"/>
      <c r="Q61" s="175">
        <f t="shared" si="2"/>
        <v>13.223600000000001</v>
      </c>
      <c r="R61" s="47"/>
    </row>
    <row r="62" spans="1:18">
      <c r="A62" s="176" t="s">
        <v>51</v>
      </c>
      <c r="B62" s="307"/>
      <c r="C62" s="177" t="s">
        <v>13</v>
      </c>
      <c r="D62" s="53">
        <v>48.745799208551162</v>
      </c>
      <c r="E62" s="53"/>
      <c r="F62" s="178">
        <f t="shared" si="0"/>
        <v>48.745799208551162</v>
      </c>
      <c r="G62" s="78">
        <v>15.048</v>
      </c>
      <c r="H62" s="78">
        <v>337.22399999999999</v>
      </c>
      <c r="I62" s="179"/>
      <c r="J62" s="178">
        <f t="shared" si="1"/>
        <v>337.22399999999999</v>
      </c>
      <c r="K62" s="78"/>
      <c r="L62" s="54">
        <v>52.997999999999998</v>
      </c>
      <c r="M62" s="54"/>
      <c r="N62" s="54"/>
      <c r="O62" s="54"/>
      <c r="P62" s="54"/>
      <c r="Q62" s="180">
        <f t="shared" si="2"/>
        <v>454.01579920855113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39.914999999999999</v>
      </c>
      <c r="E63" s="52">
        <v>36.64</v>
      </c>
      <c r="F63" s="181">
        <f t="shared" si="0"/>
        <v>76.555000000000007</v>
      </c>
      <c r="G63" s="77">
        <v>1128.4390000000001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1204.9940000000001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3389.0399449747106</v>
      </c>
      <c r="E64" s="53">
        <v>3165.6959999999999</v>
      </c>
      <c r="F64" s="178">
        <f t="shared" si="0"/>
        <v>6554.7359449747109</v>
      </c>
      <c r="G64" s="78">
        <v>133640.378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140195.1139449747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69.521000000000001</v>
      </c>
      <c r="H65" s="77"/>
      <c r="I65" s="174"/>
      <c r="J65" s="181">
        <f t="shared" si="1"/>
        <v>0</v>
      </c>
      <c r="K65" s="77"/>
      <c r="L65" s="33"/>
      <c r="M65" s="33"/>
      <c r="N65" s="33"/>
      <c r="O65" s="33"/>
      <c r="P65" s="33"/>
      <c r="Q65" s="175">
        <f t="shared" si="2"/>
        <v>69.521000000000001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20005.634999999998</v>
      </c>
      <c r="H66" s="78"/>
      <c r="I66" s="179"/>
      <c r="J66" s="178">
        <f t="shared" si="1"/>
        <v>0</v>
      </c>
      <c r="K66" s="78"/>
      <c r="L66" s="54"/>
      <c r="M66" s="54"/>
      <c r="N66" s="54"/>
      <c r="O66" s="54"/>
      <c r="P66" s="54"/>
      <c r="Q66" s="180">
        <f t="shared" si="2"/>
        <v>20005.634999999998</v>
      </c>
      <c r="R66" s="47"/>
    </row>
    <row r="67" spans="1:18">
      <c r="A67" s="27"/>
      <c r="B67" s="46" t="s">
        <v>15</v>
      </c>
      <c r="C67" s="48" t="s">
        <v>11</v>
      </c>
      <c r="D67" s="52">
        <v>0.48299999999999998</v>
      </c>
      <c r="E67" s="52">
        <v>7.8E-2</v>
      </c>
      <c r="F67" s="181">
        <f t="shared" si="0"/>
        <v>0.56099999999999994</v>
      </c>
      <c r="G67" s="77">
        <v>68.967299999999994</v>
      </c>
      <c r="H67" s="77"/>
      <c r="I67" s="174"/>
      <c r="J67" s="181">
        <f t="shared" si="1"/>
        <v>0</v>
      </c>
      <c r="K67" s="77">
        <v>2.4E-2</v>
      </c>
      <c r="L67" s="33">
        <v>3.0000000000000001E-3</v>
      </c>
      <c r="M67" s="33"/>
      <c r="N67" s="33"/>
      <c r="O67" s="33"/>
      <c r="P67" s="33"/>
      <c r="Q67" s="175">
        <f t="shared" si="2"/>
        <v>69.555300000000003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34.27919944343445</v>
      </c>
      <c r="E68" s="56">
        <v>6.0259999999999998</v>
      </c>
      <c r="F68" s="185">
        <f t="shared" si="0"/>
        <v>40.305199443434446</v>
      </c>
      <c r="G68" s="79">
        <v>8473.2450000000008</v>
      </c>
      <c r="H68" s="79"/>
      <c r="I68" s="186"/>
      <c r="J68" s="185">
        <f t="shared" si="1"/>
        <v>0</v>
      </c>
      <c r="K68" s="79">
        <v>0.79900000000000004</v>
      </c>
      <c r="L68" s="37">
        <v>3.8879999999999999</v>
      </c>
      <c r="M68" s="37"/>
      <c r="N68" s="37"/>
      <c r="O68" s="37"/>
      <c r="P68" s="37"/>
      <c r="Q68" s="187">
        <f t="shared" si="2"/>
        <v>8518.2371994434361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110</v>
      </c>
      <c r="C74" s="35"/>
      <c r="D74" s="113"/>
      <c r="E74" s="113"/>
      <c r="F74" s="188"/>
      <c r="G74" s="145"/>
      <c r="H74" s="145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f t="shared" ref="D76:D77" si="22">D61+D63+D65+D67</f>
        <v>40.824599999999997</v>
      </c>
      <c r="E76" s="33">
        <f t="shared" ref="E76:E77" si="23">+E61+E63+E65+E67</f>
        <v>36.718000000000004</v>
      </c>
      <c r="F76" s="191">
        <f t="shared" ref="F76:F133" si="24">SUM(D76:E76)</f>
        <v>77.542599999999993</v>
      </c>
      <c r="G76" s="49">
        <f t="shared" ref="G76:H77" si="25">+G61+G63+G65+G67</f>
        <v>1267.6338000000001</v>
      </c>
      <c r="H76" s="49">
        <f t="shared" si="25"/>
        <v>9.875</v>
      </c>
      <c r="I76" s="50"/>
      <c r="J76" s="191">
        <f t="shared" ref="J76:J133" si="26">SUM(H76:I76)</f>
        <v>9.875</v>
      </c>
      <c r="K76" s="49">
        <f t="shared" ref="K76:L77" si="27">+K61+K63+K65+K67</f>
        <v>2.4E-2</v>
      </c>
      <c r="L76" s="33">
        <f t="shared" si="27"/>
        <v>2.2185000000000001</v>
      </c>
      <c r="M76" s="33"/>
      <c r="N76" s="33"/>
      <c r="O76" s="33"/>
      <c r="P76" s="33"/>
      <c r="Q76" s="175">
        <f t="shared" ref="Q76:Q140" si="28">SUM(F76:G76,J76:P76)</f>
        <v>1357.2938999999999</v>
      </c>
      <c r="R76" s="27"/>
    </row>
    <row r="77" spans="1:18">
      <c r="A77" s="166" t="s">
        <v>53</v>
      </c>
      <c r="B77" s="309"/>
      <c r="C77" s="192" t="s">
        <v>13</v>
      </c>
      <c r="D77" s="54">
        <f t="shared" si="22"/>
        <v>3472.0649436266963</v>
      </c>
      <c r="E77" s="54">
        <f t="shared" si="23"/>
        <v>3171.7219999999998</v>
      </c>
      <c r="F77" s="193">
        <f t="shared" si="24"/>
        <v>6643.7869436266956</v>
      </c>
      <c r="G77" s="68">
        <f t="shared" si="25"/>
        <v>162134.30600000001</v>
      </c>
      <c r="H77" s="68">
        <f t="shared" si="25"/>
        <v>337.22399999999999</v>
      </c>
      <c r="I77" s="63"/>
      <c r="J77" s="193">
        <f t="shared" si="26"/>
        <v>337.22399999999999</v>
      </c>
      <c r="K77" s="68">
        <f t="shared" si="27"/>
        <v>0.79900000000000004</v>
      </c>
      <c r="L77" s="54">
        <f t="shared" si="27"/>
        <v>56.885999999999996</v>
      </c>
      <c r="M77" s="54"/>
      <c r="N77" s="54"/>
      <c r="O77" s="54"/>
      <c r="P77" s="54"/>
      <c r="Q77" s="180">
        <f t="shared" si="28"/>
        <v>169173.0019436267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5.1565000000000003</v>
      </c>
      <c r="E78" s="52">
        <v>9.2509999999999994</v>
      </c>
      <c r="F78" s="191">
        <f t="shared" si="24"/>
        <v>14.407499999999999</v>
      </c>
      <c r="G78" s="77">
        <v>4.4638999999999998</v>
      </c>
      <c r="H78" s="77">
        <v>39.055700000000002</v>
      </c>
      <c r="I78" s="174"/>
      <c r="J78" s="191">
        <f t="shared" si="26"/>
        <v>39.055700000000002</v>
      </c>
      <c r="K78" s="77">
        <v>1.0452999999999999</v>
      </c>
      <c r="L78" s="33">
        <v>2.948</v>
      </c>
      <c r="M78" s="33">
        <v>7.2099999999999997E-2</v>
      </c>
      <c r="N78" s="33">
        <v>13.382199999999999</v>
      </c>
      <c r="O78" s="33">
        <v>5.3593999999999999</v>
      </c>
      <c r="P78" s="33">
        <v>5.8627000000000002</v>
      </c>
      <c r="Q78" s="175">
        <f t="shared" si="28"/>
        <v>86.596799999999988</v>
      </c>
      <c r="R78" s="27"/>
    </row>
    <row r="79" spans="1:18">
      <c r="A79" s="176" t="s">
        <v>31</v>
      </c>
      <c r="B79" s="307"/>
      <c r="C79" s="192" t="s">
        <v>13</v>
      </c>
      <c r="D79" s="53">
        <v>8256.94330593823</v>
      </c>
      <c r="E79" s="53">
        <v>12408.179</v>
      </c>
      <c r="F79" s="193">
        <f t="shared" si="24"/>
        <v>20665.122305938232</v>
      </c>
      <c r="G79" s="78">
        <v>7902.0839999999998</v>
      </c>
      <c r="H79" s="78">
        <v>26003.654999999999</v>
      </c>
      <c r="I79" s="179"/>
      <c r="J79" s="193">
        <f t="shared" si="26"/>
        <v>26003.654999999999</v>
      </c>
      <c r="K79" s="78">
        <v>1079.653</v>
      </c>
      <c r="L79" s="54">
        <v>4171.8540000000003</v>
      </c>
      <c r="M79" s="54">
        <f>33.673*1.08</f>
        <v>36.366840000000003</v>
      </c>
      <c r="N79" s="54">
        <v>18555.909</v>
      </c>
      <c r="O79" s="54">
        <v>5723.9750000000004</v>
      </c>
      <c r="P79" s="54">
        <f>7008.95*1.08</f>
        <v>7569.6660000000002</v>
      </c>
      <c r="Q79" s="180">
        <f t="shared" si="28"/>
        <v>91708.285145938236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>
        <v>2.9000000000000001E-2</v>
      </c>
      <c r="F80" s="191">
        <f t="shared" si="24"/>
        <v>2.9000000000000001E-2</v>
      </c>
      <c r="G80" s="77"/>
      <c r="H80" s="77">
        <v>2.0626000000000002</v>
      </c>
      <c r="I80" s="174"/>
      <c r="J80" s="191">
        <f t="shared" si="26"/>
        <v>2.0626000000000002</v>
      </c>
      <c r="K80" s="77">
        <v>2E-3</v>
      </c>
      <c r="L80" s="33"/>
      <c r="M80" s="33"/>
      <c r="N80" s="33"/>
      <c r="O80" s="33"/>
      <c r="P80" s="33"/>
      <c r="Q80" s="175">
        <f t="shared" si="28"/>
        <v>2.0935999999999999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>
        <v>2.57</v>
      </c>
      <c r="F81" s="193">
        <f t="shared" si="24"/>
        <v>2.57</v>
      </c>
      <c r="G81" s="78"/>
      <c r="H81" s="78">
        <v>300.48899999999998</v>
      </c>
      <c r="I81" s="179"/>
      <c r="J81" s="193">
        <f t="shared" si="26"/>
        <v>300.48899999999998</v>
      </c>
      <c r="K81" s="78">
        <v>4.2999999999999997E-2</v>
      </c>
      <c r="L81" s="54"/>
      <c r="M81" s="54"/>
      <c r="N81" s="54"/>
      <c r="O81" s="54"/>
      <c r="P81" s="54"/>
      <c r="Q81" s="180">
        <f t="shared" si="28"/>
        <v>303.10199999999998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4"/>
        <v>0</v>
      </c>
      <c r="G82" s="77"/>
      <c r="H82" s="77"/>
      <c r="I82" s="174"/>
      <c r="J82" s="191">
        <f t="shared" si="26"/>
        <v>0</v>
      </c>
      <c r="K82" s="77"/>
      <c r="L82" s="33"/>
      <c r="M82" s="33"/>
      <c r="N82" s="33"/>
      <c r="O82" s="33"/>
      <c r="P82" s="33"/>
      <c r="Q82" s="175">
        <f t="shared" si="28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4"/>
        <v>0</v>
      </c>
      <c r="G83" s="78"/>
      <c r="H83" s="78"/>
      <c r="I83" s="179"/>
      <c r="J83" s="193">
        <f t="shared" si="26"/>
        <v>0</v>
      </c>
      <c r="K83" s="78"/>
      <c r="L83" s="54"/>
      <c r="M83" s="54"/>
      <c r="N83" s="54"/>
      <c r="O83" s="54"/>
      <c r="P83" s="54"/>
      <c r="Q83" s="180">
        <f t="shared" si="28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4"/>
        <v>0</v>
      </c>
      <c r="G84" s="77"/>
      <c r="H84" s="77"/>
      <c r="I84" s="174"/>
      <c r="J84" s="191">
        <f t="shared" si="26"/>
        <v>0</v>
      </c>
      <c r="K84" s="77"/>
      <c r="L84" s="33"/>
      <c r="M84" s="33"/>
      <c r="N84" s="33"/>
      <c r="O84" s="33"/>
      <c r="P84" s="33"/>
      <c r="Q84" s="175">
        <f t="shared" si="28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4"/>
        <v>0</v>
      </c>
      <c r="G85" s="78"/>
      <c r="H85" s="78"/>
      <c r="I85" s="179"/>
      <c r="J85" s="193">
        <f t="shared" si="26"/>
        <v>0</v>
      </c>
      <c r="K85" s="78"/>
      <c r="L85" s="54"/>
      <c r="M85" s="54"/>
      <c r="N85" s="54"/>
      <c r="O85" s="54"/>
      <c r="P85" s="54"/>
      <c r="Q85" s="180">
        <f t="shared" si="28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3.3871000000000002</v>
      </c>
      <c r="E86" s="52">
        <v>8.4016999999999999</v>
      </c>
      <c r="F86" s="191">
        <f t="shared" si="24"/>
        <v>11.7888</v>
      </c>
      <c r="G86" s="77">
        <v>0.5917</v>
      </c>
      <c r="H86" s="77">
        <v>224.2294</v>
      </c>
      <c r="I86" s="174"/>
      <c r="J86" s="191">
        <f t="shared" si="26"/>
        <v>224.2294</v>
      </c>
      <c r="K86" s="77">
        <v>1.7751999999999999</v>
      </c>
      <c r="L86" s="33">
        <v>1.2419</v>
      </c>
      <c r="M86" s="33"/>
      <c r="N86" s="33">
        <v>9.7188999999999997</v>
      </c>
      <c r="O86" s="33">
        <v>0.58420000000000005</v>
      </c>
      <c r="P86" s="33">
        <v>0.89280000000000004</v>
      </c>
      <c r="Q86" s="175">
        <f t="shared" si="28"/>
        <v>250.8229</v>
      </c>
      <c r="R86" s="27"/>
    </row>
    <row r="87" spans="1:18">
      <c r="A87" s="176"/>
      <c r="B87" s="177" t="s">
        <v>63</v>
      </c>
      <c r="C87" s="192" t="s">
        <v>13</v>
      </c>
      <c r="D87" s="53">
        <v>2088.3074060937251</v>
      </c>
      <c r="E87" s="53">
        <v>4450.5720000000001</v>
      </c>
      <c r="F87" s="193">
        <f t="shared" si="24"/>
        <v>6538.8794060937253</v>
      </c>
      <c r="G87" s="78">
        <v>752.82799999999997</v>
      </c>
      <c r="H87" s="78">
        <v>71542.422999999995</v>
      </c>
      <c r="I87" s="179"/>
      <c r="J87" s="193">
        <f t="shared" si="26"/>
        <v>71542.422999999995</v>
      </c>
      <c r="K87" s="78">
        <v>769.35299999999995</v>
      </c>
      <c r="L87" s="54">
        <v>998.22199999999998</v>
      </c>
      <c r="M87" s="54"/>
      <c r="N87" s="54">
        <v>5235.1850000000004</v>
      </c>
      <c r="O87" s="54">
        <v>961.7</v>
      </c>
      <c r="P87" s="54">
        <f>1272.82*1.08</f>
        <v>1374.6456000000001</v>
      </c>
      <c r="Q87" s="180">
        <f t="shared" si="28"/>
        <v>88173.236006093721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f t="shared" ref="D88:D89" si="29">D78+D80+D82+D84+D86</f>
        <v>8.5436000000000014</v>
      </c>
      <c r="E88" s="33">
        <f t="shared" ref="E88:E89" si="30">+E78+E80+E82+E84+E86</f>
        <v>17.681699999999999</v>
      </c>
      <c r="F88" s="191">
        <f t="shared" si="24"/>
        <v>26.225300000000001</v>
      </c>
      <c r="G88" s="49">
        <f t="shared" ref="G88:H89" si="31">+G78+G80+G82+G84+G86</f>
        <v>5.0556000000000001</v>
      </c>
      <c r="H88" s="49">
        <f t="shared" si="31"/>
        <v>265.34770000000003</v>
      </c>
      <c r="I88" s="50"/>
      <c r="J88" s="191">
        <f t="shared" si="26"/>
        <v>265.34770000000003</v>
      </c>
      <c r="K88" s="49">
        <f>+K78+K80+K82+K84+K86</f>
        <v>2.8224999999999998</v>
      </c>
      <c r="L88" s="33">
        <f t="shared" ref="L88:P89" si="32">+L78+L80+L82+L84+L86</f>
        <v>4.1898999999999997</v>
      </c>
      <c r="M88" s="33">
        <f t="shared" si="32"/>
        <v>7.2099999999999997E-2</v>
      </c>
      <c r="N88" s="33">
        <f t="shared" si="32"/>
        <v>23.101099999999999</v>
      </c>
      <c r="O88" s="33">
        <f t="shared" si="32"/>
        <v>5.9436</v>
      </c>
      <c r="P88" s="33">
        <f t="shared" si="32"/>
        <v>6.7555000000000005</v>
      </c>
      <c r="Q88" s="175">
        <f t="shared" si="28"/>
        <v>339.51329999999996</v>
      </c>
      <c r="R88" s="27"/>
    </row>
    <row r="89" spans="1:18">
      <c r="A89" s="183"/>
      <c r="B89" s="309"/>
      <c r="C89" s="192" t="s">
        <v>13</v>
      </c>
      <c r="D89" s="54">
        <f t="shared" si="29"/>
        <v>10345.250712031955</v>
      </c>
      <c r="E89" s="54">
        <f t="shared" si="30"/>
        <v>16861.321</v>
      </c>
      <c r="F89" s="193">
        <f t="shared" si="24"/>
        <v>27206.571712031953</v>
      </c>
      <c r="G89" s="68">
        <f t="shared" si="31"/>
        <v>8654.9120000000003</v>
      </c>
      <c r="H89" s="68">
        <f t="shared" si="31"/>
        <v>97846.566999999995</v>
      </c>
      <c r="I89" s="63"/>
      <c r="J89" s="193">
        <f t="shared" si="26"/>
        <v>97846.566999999995</v>
      </c>
      <c r="K89" s="68">
        <f>+K79+K81+K83+K85+K87</f>
        <v>1849.049</v>
      </c>
      <c r="L89" s="54">
        <f t="shared" si="32"/>
        <v>5170.076</v>
      </c>
      <c r="M89" s="54">
        <f t="shared" si="32"/>
        <v>36.366840000000003</v>
      </c>
      <c r="N89" s="54">
        <f t="shared" si="32"/>
        <v>23791.094000000001</v>
      </c>
      <c r="O89" s="54">
        <f t="shared" si="32"/>
        <v>6685.6750000000002</v>
      </c>
      <c r="P89" s="54">
        <f t="shared" si="32"/>
        <v>8944.3116000000009</v>
      </c>
      <c r="Q89" s="180">
        <f t="shared" si="28"/>
        <v>180184.62315203197</v>
      </c>
      <c r="R89" s="27"/>
    </row>
    <row r="90" spans="1:18">
      <c r="A90" s="310" t="s">
        <v>64</v>
      </c>
      <c r="B90" s="311"/>
      <c r="C90" s="32" t="s">
        <v>11</v>
      </c>
      <c r="D90" s="52">
        <v>0.42680000000000001</v>
      </c>
      <c r="E90" s="52">
        <v>1.8028999999999999</v>
      </c>
      <c r="F90" s="191">
        <f t="shared" si="24"/>
        <v>2.2296999999999998</v>
      </c>
      <c r="G90" s="77">
        <v>8.6289999999999996</v>
      </c>
      <c r="H90" s="77">
        <v>24.3248</v>
      </c>
      <c r="I90" s="174"/>
      <c r="J90" s="191">
        <f t="shared" si="26"/>
        <v>24.3248</v>
      </c>
      <c r="K90" s="77">
        <v>5.7518000000000002</v>
      </c>
      <c r="L90" s="33">
        <v>7.3517000000000001</v>
      </c>
      <c r="M90" s="33"/>
      <c r="N90" s="33">
        <v>0.1095</v>
      </c>
      <c r="O90" s="33">
        <v>0.27679999999999999</v>
      </c>
      <c r="P90" s="33">
        <v>1.3847</v>
      </c>
      <c r="Q90" s="175">
        <f t="shared" si="28"/>
        <v>50.058</v>
      </c>
      <c r="R90" s="27"/>
    </row>
    <row r="91" spans="1:18">
      <c r="A91" s="312"/>
      <c r="B91" s="313"/>
      <c r="C91" s="192" t="s">
        <v>13</v>
      </c>
      <c r="D91" s="53">
        <v>465.52319244165051</v>
      </c>
      <c r="E91" s="53">
        <v>1721.434</v>
      </c>
      <c r="F91" s="193">
        <f t="shared" si="24"/>
        <v>2186.9571924416505</v>
      </c>
      <c r="G91" s="78">
        <v>8078.9089999999997</v>
      </c>
      <c r="H91" s="78">
        <v>20494.661</v>
      </c>
      <c r="I91" s="179"/>
      <c r="J91" s="193">
        <f t="shared" si="26"/>
        <v>20494.661</v>
      </c>
      <c r="K91" s="78">
        <v>4652.4059999999999</v>
      </c>
      <c r="L91" s="54">
        <v>6676.6760000000004</v>
      </c>
      <c r="M91" s="54"/>
      <c r="N91" s="54">
        <v>114.252</v>
      </c>
      <c r="O91" s="54">
        <v>242.934</v>
      </c>
      <c r="P91" s="54">
        <f>1184.145*1.08</f>
        <v>1278.8766000000001</v>
      </c>
      <c r="Q91" s="180">
        <f t="shared" si="28"/>
        <v>43725.671792441659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24"/>
        <v>0</v>
      </c>
      <c r="G92" s="77"/>
      <c r="H92" s="77"/>
      <c r="I92" s="174"/>
      <c r="J92" s="191">
        <f t="shared" si="26"/>
        <v>0</v>
      </c>
      <c r="K92" s="77">
        <v>31.2</v>
      </c>
      <c r="L92" s="33">
        <v>0.1</v>
      </c>
      <c r="M92" s="33"/>
      <c r="N92" s="33"/>
      <c r="O92" s="33"/>
      <c r="P92" s="33"/>
      <c r="Q92" s="175">
        <f t="shared" si="28"/>
        <v>31.3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24"/>
        <v>0</v>
      </c>
      <c r="G93" s="78"/>
      <c r="H93" s="78"/>
      <c r="I93" s="179"/>
      <c r="J93" s="193">
        <f t="shared" si="26"/>
        <v>0</v>
      </c>
      <c r="K93" s="78">
        <v>1465.7760000000001</v>
      </c>
      <c r="L93" s="54">
        <v>32.4</v>
      </c>
      <c r="M93" s="54"/>
      <c r="N93" s="54"/>
      <c r="O93" s="54"/>
      <c r="P93" s="54"/>
      <c r="Q93" s="180">
        <f t="shared" si="28"/>
        <v>1498.1760000000002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0.2727</v>
      </c>
      <c r="F94" s="191">
        <f t="shared" si="24"/>
        <v>0.2727</v>
      </c>
      <c r="G94" s="77"/>
      <c r="H94" s="77">
        <v>0.1348</v>
      </c>
      <c r="I94" s="174"/>
      <c r="J94" s="191">
        <f t="shared" si="26"/>
        <v>0.1348</v>
      </c>
      <c r="K94" s="77">
        <v>6.8999999999999999E-3</v>
      </c>
      <c r="L94" s="33">
        <v>1.9E-3</v>
      </c>
      <c r="M94" s="33"/>
      <c r="N94" s="33"/>
      <c r="O94" s="33"/>
      <c r="P94" s="33"/>
      <c r="Q94" s="175">
        <f t="shared" si="28"/>
        <v>0.4163</v>
      </c>
      <c r="R94" s="27"/>
    </row>
    <row r="95" spans="1:18">
      <c r="A95" s="312"/>
      <c r="B95" s="313"/>
      <c r="C95" s="192" t="s">
        <v>13</v>
      </c>
      <c r="D95" s="53"/>
      <c r="E95" s="53">
        <v>284.517</v>
      </c>
      <c r="F95" s="193">
        <f t="shared" si="24"/>
        <v>284.517</v>
      </c>
      <c r="G95" s="78"/>
      <c r="H95" s="78">
        <v>328.279</v>
      </c>
      <c r="I95" s="179"/>
      <c r="J95" s="193">
        <f t="shared" si="26"/>
        <v>328.279</v>
      </c>
      <c r="K95" s="78">
        <v>13.673</v>
      </c>
      <c r="L95" s="54">
        <v>3.0779999999999998</v>
      </c>
      <c r="M95" s="54"/>
      <c r="N95" s="54"/>
      <c r="O95" s="54"/>
      <c r="P95" s="54"/>
      <c r="Q95" s="180">
        <f t="shared" si="28"/>
        <v>629.54700000000003</v>
      </c>
      <c r="R95" s="27"/>
    </row>
    <row r="96" spans="1:18">
      <c r="A96" s="310" t="s">
        <v>67</v>
      </c>
      <c r="B96" s="311"/>
      <c r="C96" s="32" t="s">
        <v>11</v>
      </c>
      <c r="D96" s="52">
        <v>0.03</v>
      </c>
      <c r="E96" s="52">
        <v>2.3081</v>
      </c>
      <c r="F96" s="191">
        <f t="shared" si="24"/>
        <v>2.3380999999999998</v>
      </c>
      <c r="G96" s="77">
        <v>6.7000000000000002E-3</v>
      </c>
      <c r="H96" s="77">
        <v>11.137</v>
      </c>
      <c r="I96" s="174"/>
      <c r="J96" s="191">
        <f t="shared" si="26"/>
        <v>11.137</v>
      </c>
      <c r="K96" s="77">
        <v>0.11119999999999999</v>
      </c>
      <c r="L96" s="33"/>
      <c r="M96" s="33"/>
      <c r="N96" s="33"/>
      <c r="O96" s="33"/>
      <c r="P96" s="33"/>
      <c r="Q96" s="175">
        <f t="shared" si="28"/>
        <v>13.593</v>
      </c>
      <c r="R96" s="27"/>
    </row>
    <row r="97" spans="1:18">
      <c r="A97" s="312"/>
      <c r="B97" s="313"/>
      <c r="C97" s="192" t="s">
        <v>13</v>
      </c>
      <c r="D97" s="53">
        <v>103.67999831662594</v>
      </c>
      <c r="E97" s="53">
        <v>3963.2359999999999</v>
      </c>
      <c r="F97" s="193">
        <f t="shared" si="24"/>
        <v>4066.915998316626</v>
      </c>
      <c r="G97" s="78">
        <v>11.202</v>
      </c>
      <c r="H97" s="78">
        <v>18196.537</v>
      </c>
      <c r="I97" s="179"/>
      <c r="J97" s="193">
        <f t="shared" si="26"/>
        <v>18196.537</v>
      </c>
      <c r="K97" s="78">
        <v>117.88200000000001</v>
      </c>
      <c r="L97" s="54"/>
      <c r="M97" s="54"/>
      <c r="N97" s="54"/>
      <c r="O97" s="54"/>
      <c r="P97" s="54"/>
      <c r="Q97" s="180">
        <f t="shared" si="28"/>
        <v>22392.536998316627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24"/>
        <v>0</v>
      </c>
      <c r="G98" s="77"/>
      <c r="H98" s="77">
        <v>4.0000000000000002E-4</v>
      </c>
      <c r="I98" s="174"/>
      <c r="J98" s="191">
        <f t="shared" si="26"/>
        <v>4.0000000000000002E-4</v>
      </c>
      <c r="K98" s="77">
        <v>6.9999999999999999E-4</v>
      </c>
      <c r="L98" s="33">
        <v>7.0000000000000001E-3</v>
      </c>
      <c r="M98" s="33"/>
      <c r="N98" s="33"/>
      <c r="O98" s="33"/>
      <c r="P98" s="33"/>
      <c r="Q98" s="175">
        <f t="shared" si="28"/>
        <v>8.0999999999999996E-3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24"/>
        <v>0</v>
      </c>
      <c r="G99" s="78"/>
      <c r="H99" s="78">
        <v>0.51800000000000002</v>
      </c>
      <c r="I99" s="179"/>
      <c r="J99" s="193">
        <f t="shared" si="26"/>
        <v>0.51800000000000002</v>
      </c>
      <c r="K99" s="78">
        <v>0.75600000000000001</v>
      </c>
      <c r="L99" s="54">
        <v>5.5190000000000001</v>
      </c>
      <c r="M99" s="54"/>
      <c r="N99" s="54"/>
      <c r="O99" s="54"/>
      <c r="P99" s="54"/>
      <c r="Q99" s="180">
        <f t="shared" si="28"/>
        <v>6.7930000000000001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24"/>
        <v>0</v>
      </c>
      <c r="G100" s="77">
        <v>8.8000000000000005E-3</v>
      </c>
      <c r="H100" s="77"/>
      <c r="I100" s="174"/>
      <c r="J100" s="191">
        <f t="shared" si="26"/>
        <v>0</v>
      </c>
      <c r="K100" s="77"/>
      <c r="L100" s="33"/>
      <c r="M100" s="33"/>
      <c r="N100" s="33"/>
      <c r="O100" s="33"/>
      <c r="P100" s="33"/>
      <c r="Q100" s="175">
        <f t="shared" si="28"/>
        <v>8.8000000000000005E-3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24"/>
        <v>0</v>
      </c>
      <c r="G101" s="78">
        <v>7.02</v>
      </c>
      <c r="H101" s="78"/>
      <c r="I101" s="179"/>
      <c r="J101" s="193">
        <f t="shared" si="26"/>
        <v>0</v>
      </c>
      <c r="K101" s="78"/>
      <c r="L101" s="54"/>
      <c r="M101" s="54"/>
      <c r="N101" s="54"/>
      <c r="O101" s="54"/>
      <c r="P101" s="54"/>
      <c r="Q101" s="180">
        <f t="shared" si="28"/>
        <v>7.02</v>
      </c>
      <c r="R101" s="27"/>
    </row>
    <row r="102" spans="1:18">
      <c r="A102" s="310" t="s">
        <v>70</v>
      </c>
      <c r="B102" s="311"/>
      <c r="C102" s="32" t="s">
        <v>11</v>
      </c>
      <c r="D102" s="52">
        <v>3.1381000000000001</v>
      </c>
      <c r="E102" s="52">
        <v>926.99080000000004</v>
      </c>
      <c r="F102" s="191">
        <f t="shared" si="24"/>
        <v>930.12890000000004</v>
      </c>
      <c r="G102" s="77">
        <v>37.217599999999997</v>
      </c>
      <c r="H102" s="77">
        <v>536.85080000000005</v>
      </c>
      <c r="I102" s="174"/>
      <c r="J102" s="191">
        <f t="shared" si="26"/>
        <v>536.85080000000005</v>
      </c>
      <c r="K102" s="77">
        <v>73.639099999999999</v>
      </c>
      <c r="L102" s="33">
        <v>12.1821</v>
      </c>
      <c r="M102" s="33">
        <v>0.38779999999999998</v>
      </c>
      <c r="N102" s="33">
        <v>22.497699999999998</v>
      </c>
      <c r="O102" s="33">
        <v>2.8208000000000002</v>
      </c>
      <c r="P102" s="33">
        <v>2.5427</v>
      </c>
      <c r="Q102" s="175">
        <f t="shared" si="28"/>
        <v>1618.2674999999999</v>
      </c>
      <c r="R102" s="27"/>
    </row>
    <row r="103" spans="1:18">
      <c r="A103" s="312"/>
      <c r="B103" s="313"/>
      <c r="C103" s="192" t="s">
        <v>13</v>
      </c>
      <c r="D103" s="53">
        <v>6011.5790623945177</v>
      </c>
      <c r="E103" s="53">
        <v>229516.209</v>
      </c>
      <c r="F103" s="193">
        <f t="shared" si="24"/>
        <v>235527.78806239451</v>
      </c>
      <c r="G103" s="78">
        <v>4391.6469999999999</v>
      </c>
      <c r="H103" s="78">
        <v>95761.896999999997</v>
      </c>
      <c r="I103" s="179"/>
      <c r="J103" s="193">
        <f t="shared" si="26"/>
        <v>95761.896999999997</v>
      </c>
      <c r="K103" s="78">
        <v>16002.38</v>
      </c>
      <c r="L103" s="54">
        <v>2846.3580000000002</v>
      </c>
      <c r="M103" s="54">
        <f>68.254*1.08</f>
        <v>73.714320000000015</v>
      </c>
      <c r="N103" s="54">
        <v>11769.83</v>
      </c>
      <c r="O103" s="54">
        <v>3034.4380000000001</v>
      </c>
      <c r="P103" s="54">
        <f>2285.122*1.08</f>
        <v>2467.9317599999999</v>
      </c>
      <c r="Q103" s="180">
        <f t="shared" si="28"/>
        <v>371875.98414239456</v>
      </c>
      <c r="R103" s="27"/>
    </row>
    <row r="104" spans="1:18">
      <c r="A104" s="314" t="s">
        <v>71</v>
      </c>
      <c r="B104" s="315"/>
      <c r="C104" s="32" t="s">
        <v>11</v>
      </c>
      <c r="D104" s="33">
        <f t="shared" ref="D104:D105" si="33">D9+D11+D23+D29+D37+D39+D41+D43+D45+D47+D49+D51+D53+D59+D76+D88+D90+D92+D94+D96+D98+D100+D102</f>
        <v>486.79909999999995</v>
      </c>
      <c r="E104" s="33">
        <f t="shared" ref="E104:E105" si="34">+E9+E11+E23+E29+E37+E39+E41+E43+E45+E47+E49+E51+E53+E59+E76+E88+E90+E92+E94+E96+E98+E100+E102</f>
        <v>1302.3430000000001</v>
      </c>
      <c r="F104" s="191">
        <f t="shared" si="24"/>
        <v>1789.1421</v>
      </c>
      <c r="G104" s="49">
        <f t="shared" ref="G104:H105" si="35">+G9+G11+G23+G29+G37+G39+G41+G43+G45+G47+G49+G51+G53+G59+G76+G88+G90+G92+G94+G96+G98+G100+G102</f>
        <v>11792.8853</v>
      </c>
      <c r="H104" s="49">
        <f t="shared" si="35"/>
        <v>4959.8862999999992</v>
      </c>
      <c r="I104" s="50"/>
      <c r="J104" s="191">
        <f t="shared" si="26"/>
        <v>4959.8862999999992</v>
      </c>
      <c r="K104" s="49">
        <f t="shared" ref="K104:P105" si="36">+K9+K11+K23+K29+K37+K39+K41+K43+K45+K47+K49+K51+K53+K59+K76+K88+K90+K92+K94+K96+K98+K100+K102</f>
        <v>5256.1080000000011</v>
      </c>
      <c r="L104" s="33">
        <f t="shared" si="36"/>
        <v>232.15125</v>
      </c>
      <c r="M104" s="33">
        <f t="shared" si="36"/>
        <v>0.45989999999999998</v>
      </c>
      <c r="N104" s="33">
        <f t="shared" si="36"/>
        <v>48.931299999999993</v>
      </c>
      <c r="O104" s="33">
        <f t="shared" si="36"/>
        <v>9.1639999999999997</v>
      </c>
      <c r="P104" s="33">
        <f t="shared" si="36"/>
        <v>15.715800000000002</v>
      </c>
      <c r="Q104" s="175">
        <f t="shared" si="28"/>
        <v>24104.443950000001</v>
      </c>
      <c r="R104" s="27"/>
    </row>
    <row r="105" spans="1:18">
      <c r="A105" s="316"/>
      <c r="B105" s="317"/>
      <c r="C105" s="192" t="s">
        <v>13</v>
      </c>
      <c r="D105" s="54">
        <f t="shared" si="33"/>
        <v>538252.61822079762</v>
      </c>
      <c r="E105" s="54">
        <f t="shared" si="34"/>
        <v>447960.12</v>
      </c>
      <c r="F105" s="193">
        <f t="shared" si="24"/>
        <v>986212.73822079762</v>
      </c>
      <c r="G105" s="68">
        <f t="shared" si="35"/>
        <v>2874333.9619999998</v>
      </c>
      <c r="H105" s="68">
        <f t="shared" si="35"/>
        <v>843697.14600000007</v>
      </c>
      <c r="I105" s="63"/>
      <c r="J105" s="193">
        <f t="shared" si="26"/>
        <v>843697.14600000007</v>
      </c>
      <c r="K105" s="68">
        <f t="shared" si="36"/>
        <v>997736.18799999973</v>
      </c>
      <c r="L105" s="54">
        <f t="shared" si="36"/>
        <v>82545.112999999983</v>
      </c>
      <c r="M105" s="54">
        <f t="shared" si="36"/>
        <v>110.08116000000001</v>
      </c>
      <c r="N105" s="54">
        <f t="shared" si="36"/>
        <v>35857.018000000004</v>
      </c>
      <c r="O105" s="54">
        <f t="shared" si="36"/>
        <v>10023.246999999999</v>
      </c>
      <c r="P105" s="54">
        <f t="shared" si="36"/>
        <v>15358.970519999999</v>
      </c>
      <c r="Q105" s="180">
        <f t="shared" si="28"/>
        <v>5845874.4639007971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24"/>
        <v>0</v>
      </c>
      <c r="G106" s="77"/>
      <c r="H106" s="77">
        <v>2.0163000000000002</v>
      </c>
      <c r="I106" s="174"/>
      <c r="J106" s="191">
        <f t="shared" si="26"/>
        <v>2.0163000000000002</v>
      </c>
      <c r="K106" s="77">
        <v>0.1978</v>
      </c>
      <c r="L106" s="33"/>
      <c r="M106" s="33"/>
      <c r="N106" s="33"/>
      <c r="O106" s="33"/>
      <c r="P106" s="33"/>
      <c r="Q106" s="175">
        <f t="shared" si="28"/>
        <v>2.2141000000000002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24"/>
        <v>0</v>
      </c>
      <c r="G107" s="78"/>
      <c r="H107" s="78">
        <v>4195.9049999999997</v>
      </c>
      <c r="I107" s="179"/>
      <c r="J107" s="193">
        <f t="shared" si="26"/>
        <v>4195.9049999999997</v>
      </c>
      <c r="K107" s="78">
        <v>577.69100000000003</v>
      </c>
      <c r="L107" s="54"/>
      <c r="M107" s="54"/>
      <c r="N107" s="54"/>
      <c r="O107" s="54"/>
      <c r="P107" s="54"/>
      <c r="Q107" s="180">
        <f t="shared" si="28"/>
        <v>4773.5959999999995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1.3341000000000001</v>
      </c>
      <c r="E108" s="52">
        <v>0.53739999999999999</v>
      </c>
      <c r="F108" s="191">
        <f t="shared" si="24"/>
        <v>1.8715000000000002</v>
      </c>
      <c r="G108" s="77">
        <v>1.3267</v>
      </c>
      <c r="H108" s="77">
        <v>28.728000000000002</v>
      </c>
      <c r="I108" s="174"/>
      <c r="J108" s="191">
        <f t="shared" si="26"/>
        <v>28.728000000000002</v>
      </c>
      <c r="K108" s="77">
        <v>0.94189999999999996</v>
      </c>
      <c r="L108" s="33">
        <v>2.0085000000000002</v>
      </c>
      <c r="M108" s="33"/>
      <c r="N108" s="33">
        <v>3.0000000000000001E-3</v>
      </c>
      <c r="O108" s="33">
        <v>0.65439999999999998</v>
      </c>
      <c r="P108" s="33">
        <v>7.4999999999999997E-3</v>
      </c>
      <c r="Q108" s="175">
        <f t="shared" si="28"/>
        <v>35.541499999999999</v>
      </c>
      <c r="R108" s="27"/>
    </row>
    <row r="109" spans="1:18">
      <c r="A109" s="176" t="s">
        <v>0</v>
      </c>
      <c r="B109" s="307"/>
      <c r="C109" s="192" t="s">
        <v>13</v>
      </c>
      <c r="D109" s="53">
        <v>657.83770931918457</v>
      </c>
      <c r="E109" s="53">
        <v>270.21600000000001</v>
      </c>
      <c r="F109" s="193">
        <f t="shared" si="24"/>
        <v>928.05370931918458</v>
      </c>
      <c r="G109" s="78">
        <v>1619.722</v>
      </c>
      <c r="H109" s="78">
        <v>9337.2250000000004</v>
      </c>
      <c r="I109" s="179"/>
      <c r="J109" s="193">
        <f t="shared" si="26"/>
        <v>9337.2250000000004</v>
      </c>
      <c r="K109" s="78">
        <v>424.97</v>
      </c>
      <c r="L109" s="54">
        <v>1762.375</v>
      </c>
      <c r="M109" s="54"/>
      <c r="N109" s="54">
        <v>0.61599999999999999</v>
      </c>
      <c r="O109" s="54">
        <v>565.15300000000002</v>
      </c>
      <c r="P109" s="54">
        <f>3.38*1.08</f>
        <v>3.6504000000000003</v>
      </c>
      <c r="Q109" s="180">
        <f t="shared" si="28"/>
        <v>14641.765109319185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1.6233</v>
      </c>
      <c r="E110" s="52">
        <v>132.0445</v>
      </c>
      <c r="F110" s="191">
        <f t="shared" si="24"/>
        <v>133.6678</v>
      </c>
      <c r="G110" s="77">
        <v>4.1973000000000003</v>
      </c>
      <c r="H110" s="77">
        <v>610.70740000000001</v>
      </c>
      <c r="I110" s="174"/>
      <c r="J110" s="191">
        <f t="shared" si="26"/>
        <v>610.70740000000001</v>
      </c>
      <c r="K110" s="77">
        <v>26.956199999999999</v>
      </c>
      <c r="L110" s="33">
        <v>0.36159999999999998</v>
      </c>
      <c r="M110" s="33"/>
      <c r="N110" s="33">
        <v>4.0000000000000001E-3</v>
      </c>
      <c r="O110" s="33"/>
      <c r="P110" s="33"/>
      <c r="Q110" s="175">
        <f t="shared" si="28"/>
        <v>775.89429999999993</v>
      </c>
      <c r="R110" s="27"/>
    </row>
    <row r="111" spans="1:18">
      <c r="A111" s="176"/>
      <c r="B111" s="307"/>
      <c r="C111" s="192" t="s">
        <v>13</v>
      </c>
      <c r="D111" s="53">
        <v>481.21775218682973</v>
      </c>
      <c r="E111" s="53">
        <v>29741.705999999998</v>
      </c>
      <c r="F111" s="193">
        <f t="shared" si="24"/>
        <v>30222.923752186827</v>
      </c>
      <c r="G111" s="78">
        <v>2116.654</v>
      </c>
      <c r="H111" s="78">
        <v>138645.97399999999</v>
      </c>
      <c r="I111" s="179"/>
      <c r="J111" s="193">
        <f t="shared" si="26"/>
        <v>138645.97399999999</v>
      </c>
      <c r="K111" s="78">
        <v>6043.0280000000002</v>
      </c>
      <c r="L111" s="54">
        <v>195.36699999999999</v>
      </c>
      <c r="M111" s="54"/>
      <c r="N111" s="54">
        <v>0.86399999999999999</v>
      </c>
      <c r="O111" s="54"/>
      <c r="P111" s="54"/>
      <c r="Q111" s="180">
        <f t="shared" si="28"/>
        <v>177224.81075218681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9.9599999999999994E-2</v>
      </c>
      <c r="F112" s="191">
        <f t="shared" si="24"/>
        <v>9.9599999999999994E-2</v>
      </c>
      <c r="G112" s="77">
        <v>1.26E-2</v>
      </c>
      <c r="H112" s="77">
        <v>1.603</v>
      </c>
      <c r="I112" s="174"/>
      <c r="J112" s="191">
        <f t="shared" si="26"/>
        <v>1.603</v>
      </c>
      <c r="K112" s="77">
        <v>2.2599999999999999E-2</v>
      </c>
      <c r="L112" s="33">
        <v>1.03E-2</v>
      </c>
      <c r="M112" s="33"/>
      <c r="N112" s="33">
        <v>1.11E-2</v>
      </c>
      <c r="O112" s="33"/>
      <c r="P112" s="33">
        <v>9.1600000000000001E-2</v>
      </c>
      <c r="Q112" s="175">
        <f t="shared" si="28"/>
        <v>1.8508</v>
      </c>
      <c r="R112" s="27"/>
    </row>
    <row r="113" spans="1:18">
      <c r="A113" s="176"/>
      <c r="B113" s="307"/>
      <c r="C113" s="192" t="s">
        <v>13</v>
      </c>
      <c r="D113" s="53"/>
      <c r="E113" s="53">
        <v>468.02800000000002</v>
      </c>
      <c r="F113" s="193">
        <f t="shared" si="24"/>
        <v>468.02800000000002</v>
      </c>
      <c r="G113" s="78">
        <v>17.364000000000001</v>
      </c>
      <c r="H113" s="78">
        <v>1568.76</v>
      </c>
      <c r="I113" s="179"/>
      <c r="J113" s="193">
        <f t="shared" si="26"/>
        <v>1568.76</v>
      </c>
      <c r="K113" s="78">
        <v>24.408000000000001</v>
      </c>
      <c r="L113" s="54">
        <v>10.692</v>
      </c>
      <c r="M113" s="54"/>
      <c r="N113" s="54">
        <v>4.202</v>
      </c>
      <c r="O113" s="54"/>
      <c r="P113" s="54">
        <f>54.92*1.08</f>
        <v>59.313600000000008</v>
      </c>
      <c r="Q113" s="180">
        <f t="shared" si="28"/>
        <v>2152.7676000000001</v>
      </c>
      <c r="R113" s="27"/>
    </row>
    <row r="114" spans="1:18">
      <c r="A114" s="176"/>
      <c r="B114" s="306" t="s">
        <v>78</v>
      </c>
      <c r="C114" s="32" t="s">
        <v>11</v>
      </c>
      <c r="D114" s="52">
        <v>0.40939999999999999</v>
      </c>
      <c r="E114" s="52">
        <v>1.9118999999999999</v>
      </c>
      <c r="F114" s="191">
        <f t="shared" si="24"/>
        <v>2.3212999999999999</v>
      </c>
      <c r="G114" s="77">
        <v>0.44169999999999998</v>
      </c>
      <c r="H114" s="77">
        <v>1.8211999999999999</v>
      </c>
      <c r="I114" s="174"/>
      <c r="J114" s="191">
        <f t="shared" si="26"/>
        <v>1.8211999999999999</v>
      </c>
      <c r="K114" s="77">
        <v>8.6300000000000002E-2</v>
      </c>
      <c r="L114" s="33">
        <v>0.41310000000000002</v>
      </c>
      <c r="M114" s="33">
        <v>0.42880000000000001</v>
      </c>
      <c r="N114" s="33">
        <v>2.3481700000000001</v>
      </c>
      <c r="O114" s="33">
        <v>1.7685</v>
      </c>
      <c r="P114" s="33">
        <v>7.8707000000000003</v>
      </c>
      <c r="Q114" s="175">
        <f t="shared" si="28"/>
        <v>17.499769999999998</v>
      </c>
      <c r="R114" s="27"/>
    </row>
    <row r="115" spans="1:18">
      <c r="A115" s="176"/>
      <c r="B115" s="307"/>
      <c r="C115" s="192" t="s">
        <v>13</v>
      </c>
      <c r="D115" s="53">
        <v>209.26943660224975</v>
      </c>
      <c r="E115" s="53">
        <v>1011.162</v>
      </c>
      <c r="F115" s="193">
        <f t="shared" si="24"/>
        <v>1220.4314366022497</v>
      </c>
      <c r="G115" s="78">
        <v>254.33</v>
      </c>
      <c r="H115" s="78">
        <v>2286.0520000000001</v>
      </c>
      <c r="I115" s="179"/>
      <c r="J115" s="193">
        <f t="shared" si="26"/>
        <v>2286.0520000000001</v>
      </c>
      <c r="K115" s="78">
        <v>110.779</v>
      </c>
      <c r="L115" s="54">
        <v>196.73699999999999</v>
      </c>
      <c r="M115" s="54">
        <f>58.595*1.08</f>
        <v>63.282600000000002</v>
      </c>
      <c r="N115" s="54">
        <v>613.60900000000004</v>
      </c>
      <c r="O115" s="54">
        <v>397.56</v>
      </c>
      <c r="P115" s="54">
        <f>2449.18*1.08</f>
        <v>2645.1143999999999</v>
      </c>
      <c r="Q115" s="180">
        <f t="shared" si="28"/>
        <v>7787.8954366022499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4"/>
        <v>0</v>
      </c>
      <c r="G116" s="77"/>
      <c r="H116" s="77"/>
      <c r="I116" s="174"/>
      <c r="J116" s="191">
        <f t="shared" si="26"/>
        <v>0</v>
      </c>
      <c r="K116" s="77"/>
      <c r="L116" s="33"/>
      <c r="M116" s="33"/>
      <c r="N116" s="33"/>
      <c r="O116" s="33"/>
      <c r="P116" s="33"/>
      <c r="Q116" s="175">
        <f t="shared" si="28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4"/>
        <v>0</v>
      </c>
      <c r="G117" s="78"/>
      <c r="H117" s="78"/>
      <c r="I117" s="179"/>
      <c r="J117" s="193">
        <f t="shared" si="26"/>
        <v>0</v>
      </c>
      <c r="K117" s="78"/>
      <c r="L117" s="54"/>
      <c r="M117" s="54"/>
      <c r="N117" s="54"/>
      <c r="O117" s="54"/>
      <c r="P117" s="54"/>
      <c r="Q117" s="180">
        <f t="shared" si="28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2E-3</v>
      </c>
      <c r="E118" s="52">
        <v>8.9999999999999993E-3</v>
      </c>
      <c r="F118" s="191">
        <f t="shared" si="24"/>
        <v>1.0999999999999999E-2</v>
      </c>
      <c r="G118" s="77"/>
      <c r="H118" s="77"/>
      <c r="I118" s="174"/>
      <c r="J118" s="191">
        <f t="shared" si="26"/>
        <v>0</v>
      </c>
      <c r="K118" s="77"/>
      <c r="L118" s="33"/>
      <c r="M118" s="33"/>
      <c r="N118" s="33"/>
      <c r="O118" s="33"/>
      <c r="P118" s="33"/>
      <c r="Q118" s="175">
        <f t="shared" si="28"/>
        <v>1.0999999999999999E-2</v>
      </c>
      <c r="R118" s="27"/>
    </row>
    <row r="119" spans="1:18">
      <c r="A119" s="176"/>
      <c r="B119" s="307"/>
      <c r="C119" s="192" t="s">
        <v>13</v>
      </c>
      <c r="D119" s="53">
        <v>0.53999999123242681</v>
      </c>
      <c r="E119" s="53">
        <v>2.2679999999999998</v>
      </c>
      <c r="F119" s="193">
        <f t="shared" si="24"/>
        <v>2.8079999912324265</v>
      </c>
      <c r="G119" s="78"/>
      <c r="H119" s="78"/>
      <c r="I119" s="179"/>
      <c r="J119" s="193">
        <f t="shared" si="26"/>
        <v>0</v>
      </c>
      <c r="K119" s="78"/>
      <c r="L119" s="54"/>
      <c r="M119" s="54"/>
      <c r="N119" s="54"/>
      <c r="O119" s="54"/>
      <c r="P119" s="54"/>
      <c r="Q119" s="180">
        <f t="shared" si="28"/>
        <v>2.8079999912324265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1.4999999999999999E-2</v>
      </c>
      <c r="E120" s="52">
        <v>1.4</v>
      </c>
      <c r="F120" s="191">
        <f t="shared" si="24"/>
        <v>1.4149999999999998</v>
      </c>
      <c r="G120" s="77"/>
      <c r="H120" s="77"/>
      <c r="I120" s="174"/>
      <c r="J120" s="191">
        <f t="shared" si="26"/>
        <v>0</v>
      </c>
      <c r="K120" s="77"/>
      <c r="L120" s="33"/>
      <c r="M120" s="33"/>
      <c r="N120" s="33"/>
      <c r="O120" s="33"/>
      <c r="P120" s="33"/>
      <c r="Q120" s="175">
        <f t="shared" si="28"/>
        <v>1.4149999999999998</v>
      </c>
      <c r="R120" s="27"/>
    </row>
    <row r="121" spans="1:18">
      <c r="A121" s="176"/>
      <c r="B121" s="307"/>
      <c r="C121" s="192" t="s">
        <v>13</v>
      </c>
      <c r="D121" s="53">
        <v>4.0499999342432007</v>
      </c>
      <c r="E121" s="53">
        <v>593.46</v>
      </c>
      <c r="F121" s="193">
        <f t="shared" si="24"/>
        <v>597.50999993424318</v>
      </c>
      <c r="G121" s="78"/>
      <c r="H121" s="78"/>
      <c r="I121" s="179"/>
      <c r="J121" s="193">
        <f t="shared" si="26"/>
        <v>0</v>
      </c>
      <c r="K121" s="78"/>
      <c r="L121" s="54"/>
      <c r="M121" s="54"/>
      <c r="N121" s="54"/>
      <c r="O121" s="54"/>
      <c r="P121" s="54"/>
      <c r="Q121" s="180">
        <f t="shared" si="28"/>
        <v>597.50999993424318</v>
      </c>
      <c r="R121" s="27"/>
    </row>
    <row r="122" spans="1:18">
      <c r="A122" s="176"/>
      <c r="B122" s="306" t="s">
        <v>84</v>
      </c>
      <c r="C122" s="32" t="s">
        <v>11</v>
      </c>
      <c r="D122" s="52">
        <v>5.4484000000000004</v>
      </c>
      <c r="E122" s="52">
        <v>0.28499999999999998</v>
      </c>
      <c r="F122" s="191">
        <f t="shared" si="24"/>
        <v>5.7334000000000005</v>
      </c>
      <c r="G122" s="77">
        <v>1.393</v>
      </c>
      <c r="H122" s="77">
        <v>4.9709000000000003</v>
      </c>
      <c r="I122" s="174"/>
      <c r="J122" s="191">
        <f t="shared" si="26"/>
        <v>4.9709000000000003</v>
      </c>
      <c r="K122" s="77">
        <v>7.6399999999999996E-2</v>
      </c>
      <c r="L122" s="33">
        <v>4.12</v>
      </c>
      <c r="M122" s="33">
        <v>10.992100000000001</v>
      </c>
      <c r="N122" s="33">
        <v>1.8542000000000001</v>
      </c>
      <c r="O122" s="33"/>
      <c r="P122" s="33">
        <v>3.0000000000000001E-3</v>
      </c>
      <c r="Q122" s="175">
        <f t="shared" si="28"/>
        <v>29.143000000000001</v>
      </c>
      <c r="R122" s="27"/>
    </row>
    <row r="123" spans="1:18">
      <c r="A123" s="176"/>
      <c r="B123" s="307"/>
      <c r="C123" s="192" t="s">
        <v>13</v>
      </c>
      <c r="D123" s="53">
        <v>3420.0359444714513</v>
      </c>
      <c r="E123" s="53">
        <v>221.94</v>
      </c>
      <c r="F123" s="193">
        <f t="shared" si="24"/>
        <v>3641.9759444714514</v>
      </c>
      <c r="G123" s="78">
        <v>2179.6840000000002</v>
      </c>
      <c r="H123" s="78">
        <v>3457.2049999999999</v>
      </c>
      <c r="I123" s="179"/>
      <c r="J123" s="193">
        <f t="shared" si="26"/>
        <v>3457.2049999999999</v>
      </c>
      <c r="K123" s="78">
        <v>27.605</v>
      </c>
      <c r="L123" s="54">
        <v>1557.7049999999999</v>
      </c>
      <c r="M123" s="54">
        <f>18389.137*1.08</f>
        <v>19860.267960000001</v>
      </c>
      <c r="N123" s="54">
        <v>2875.9140000000002</v>
      </c>
      <c r="O123" s="54"/>
      <c r="P123" s="54">
        <f>2.4*1.08</f>
        <v>2.5920000000000001</v>
      </c>
      <c r="Q123" s="180">
        <f t="shared" si="28"/>
        <v>33602.94890447145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1.5290999999999999</v>
      </c>
      <c r="E124" s="52">
        <v>3.1300000000000001E-2</v>
      </c>
      <c r="F124" s="191">
        <f t="shared" si="24"/>
        <v>1.5604</v>
      </c>
      <c r="G124" s="77">
        <v>6.7500000000000004E-2</v>
      </c>
      <c r="H124" s="77">
        <v>1.1060000000000001</v>
      </c>
      <c r="I124" s="174"/>
      <c r="J124" s="191">
        <f t="shared" si="26"/>
        <v>1.1060000000000001</v>
      </c>
      <c r="K124" s="77">
        <v>0.53129999999999999</v>
      </c>
      <c r="L124" s="33">
        <v>0.35670000000000002</v>
      </c>
      <c r="M124" s="33">
        <v>3.7499999999999999E-2</v>
      </c>
      <c r="N124" s="33">
        <v>2.58E-2</v>
      </c>
      <c r="O124" s="33">
        <v>2.5999999999999999E-3</v>
      </c>
      <c r="P124" s="33">
        <v>3.3999999999999998E-3</v>
      </c>
      <c r="Q124" s="175">
        <f t="shared" si="28"/>
        <v>3.6912000000000003</v>
      </c>
      <c r="R124" s="27"/>
    </row>
    <row r="125" spans="1:18">
      <c r="A125" s="27"/>
      <c r="B125" s="307"/>
      <c r="C125" s="192" t="s">
        <v>13</v>
      </c>
      <c r="D125" s="53">
        <v>3866.6483372201428</v>
      </c>
      <c r="E125" s="53">
        <v>15.476000000000001</v>
      </c>
      <c r="F125" s="193">
        <f t="shared" si="24"/>
        <v>3882.1243372201429</v>
      </c>
      <c r="G125" s="78">
        <v>34.094000000000001</v>
      </c>
      <c r="H125" s="78">
        <v>708.72699999999998</v>
      </c>
      <c r="I125" s="179"/>
      <c r="J125" s="193">
        <f t="shared" si="26"/>
        <v>708.72699999999998</v>
      </c>
      <c r="K125" s="78">
        <v>232.90700000000001</v>
      </c>
      <c r="L125" s="54">
        <v>331.48700000000002</v>
      </c>
      <c r="M125" s="54">
        <f>17.414*1.08</f>
        <v>18.807120000000001</v>
      </c>
      <c r="N125" s="54">
        <v>8.6289999999999996</v>
      </c>
      <c r="O125" s="54">
        <v>0.28100000000000003</v>
      </c>
      <c r="P125" s="54">
        <f>2.72*1.08</f>
        <v>2.9376000000000002</v>
      </c>
      <c r="Q125" s="180">
        <f t="shared" si="28"/>
        <v>5219.994057220144</v>
      </c>
      <c r="R125" s="27"/>
    </row>
    <row r="126" spans="1:18">
      <c r="A126" s="27"/>
      <c r="B126" s="46" t="s">
        <v>15</v>
      </c>
      <c r="C126" s="32" t="s">
        <v>11</v>
      </c>
      <c r="D126" s="52">
        <v>7.0999999999999994E-2</v>
      </c>
      <c r="E126" s="52"/>
      <c r="F126" s="191">
        <f t="shared" si="24"/>
        <v>7.0999999999999994E-2</v>
      </c>
      <c r="G126" s="77">
        <v>1.23</v>
      </c>
      <c r="H126" s="77">
        <v>0.32379999999999998</v>
      </c>
      <c r="I126" s="174"/>
      <c r="J126" s="191">
        <f t="shared" si="26"/>
        <v>0.32379999999999998</v>
      </c>
      <c r="K126" s="77"/>
      <c r="L126" s="33">
        <v>1.5305</v>
      </c>
      <c r="M126" s="33"/>
      <c r="N126" s="33"/>
      <c r="O126" s="33"/>
      <c r="P126" s="33"/>
      <c r="Q126" s="175">
        <f t="shared" si="28"/>
        <v>3.1553</v>
      </c>
      <c r="R126" s="27"/>
    </row>
    <row r="127" spans="1:18">
      <c r="A127" s="27"/>
      <c r="B127" s="177" t="s">
        <v>86</v>
      </c>
      <c r="C127" s="192" t="s">
        <v>13</v>
      </c>
      <c r="D127" s="53">
        <v>32.205599477101934</v>
      </c>
      <c r="E127" s="53"/>
      <c r="F127" s="193">
        <f t="shared" si="24"/>
        <v>32.205599477101934</v>
      </c>
      <c r="G127" s="78">
        <v>408.66899999999998</v>
      </c>
      <c r="H127" s="78">
        <v>869.55100000000004</v>
      </c>
      <c r="I127" s="179"/>
      <c r="J127" s="193">
        <f t="shared" si="26"/>
        <v>869.55100000000004</v>
      </c>
      <c r="K127" s="78"/>
      <c r="L127" s="54">
        <v>265.34199999999998</v>
      </c>
      <c r="M127" s="54"/>
      <c r="N127" s="54"/>
      <c r="O127" s="54"/>
      <c r="P127" s="54"/>
      <c r="Q127" s="180">
        <f t="shared" si="28"/>
        <v>1575.7675994771021</v>
      </c>
      <c r="R127" s="27"/>
    </row>
    <row r="128" spans="1:18">
      <c r="A128" s="27"/>
      <c r="B128" s="308" t="s">
        <v>19</v>
      </c>
      <c r="C128" s="32" t="s">
        <v>11</v>
      </c>
      <c r="D128" s="55">
        <f t="shared" ref="D128:D129" si="37">D106+D108+D110+D112+D114+D116+D118+D120+D122+D124+D126</f>
        <v>10.4323</v>
      </c>
      <c r="E128" s="55">
        <f t="shared" ref="E128:E129" si="38">+E106+E108+E110+E112+E114+E116+E118+E120+E122+E124+E126</f>
        <v>136.31869999999998</v>
      </c>
      <c r="F128" s="191">
        <f t="shared" si="24"/>
        <v>146.75099999999998</v>
      </c>
      <c r="G128" s="55">
        <f t="shared" ref="G128:G129" si="39">+G106+G108+G110+G112+G114+G116+G118+G120+G122+G124+G126</f>
        <v>8.6687999999999992</v>
      </c>
      <c r="H128" s="55">
        <f>+H106+H108+H110+H112+H114+H116+H118+H120+H122+H124+H126</f>
        <v>651.27659999999992</v>
      </c>
      <c r="I128" s="50"/>
      <c r="J128" s="191">
        <f t="shared" si="26"/>
        <v>651.27659999999992</v>
      </c>
      <c r="K128" s="55">
        <f>+K106+K108+K110+K112+K114+K116+K118+K120+K122+K124+K126</f>
        <v>28.812500000000004</v>
      </c>
      <c r="L128" s="55">
        <f t="shared" ref="L128:P129" si="40">+L106+L108+L110+L112+L114+L116+L118+L120+L122+L124+L126</f>
        <v>8.8007000000000009</v>
      </c>
      <c r="M128" s="33">
        <f t="shared" si="40"/>
        <v>11.458400000000001</v>
      </c>
      <c r="N128" s="33">
        <f t="shared" si="40"/>
        <v>4.2462700000000009</v>
      </c>
      <c r="O128" s="55">
        <f t="shared" si="40"/>
        <v>2.4255</v>
      </c>
      <c r="P128" s="55">
        <f t="shared" si="40"/>
        <v>7.9762000000000004</v>
      </c>
      <c r="Q128" s="175">
        <f t="shared" si="28"/>
        <v>870.4159699999999</v>
      </c>
      <c r="R128" s="27"/>
    </row>
    <row r="129" spans="1:18">
      <c r="A129" s="183"/>
      <c r="B129" s="309"/>
      <c r="C129" s="192" t="s">
        <v>13</v>
      </c>
      <c r="D129" s="54">
        <f t="shared" si="37"/>
        <v>8671.8047792024354</v>
      </c>
      <c r="E129" s="54">
        <f t="shared" si="38"/>
        <v>32324.255999999994</v>
      </c>
      <c r="F129" s="193">
        <f t="shared" si="24"/>
        <v>40996.060779202431</v>
      </c>
      <c r="G129" s="68">
        <f t="shared" si="39"/>
        <v>6630.5170000000007</v>
      </c>
      <c r="H129" s="68">
        <f>+H107+H109+H111+H113+H115+H117+H119+H121+H123+H125+H127</f>
        <v>161069.399</v>
      </c>
      <c r="I129" s="63"/>
      <c r="J129" s="193">
        <f t="shared" si="26"/>
        <v>161069.399</v>
      </c>
      <c r="K129" s="68">
        <f>+K107+K109+K111+K113+K115+K117+K119+K121+K123+K125+K127</f>
        <v>7441.3879999999999</v>
      </c>
      <c r="L129" s="54">
        <f t="shared" si="40"/>
        <v>4319.7049999999999</v>
      </c>
      <c r="M129" s="54">
        <f t="shared" si="40"/>
        <v>19942.357680000001</v>
      </c>
      <c r="N129" s="54">
        <f t="shared" si="40"/>
        <v>3503.8340000000003</v>
      </c>
      <c r="O129" s="54">
        <f t="shared" si="40"/>
        <v>962.99399999999991</v>
      </c>
      <c r="P129" s="54">
        <f t="shared" si="40"/>
        <v>2713.6080000000002</v>
      </c>
      <c r="Q129" s="180">
        <f t="shared" si="28"/>
        <v>247579.86345920243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4"/>
        <v>0</v>
      </c>
      <c r="G130" s="77"/>
      <c r="H130" s="77"/>
      <c r="I130" s="174"/>
      <c r="J130" s="191">
        <f t="shared" si="26"/>
        <v>0</v>
      </c>
      <c r="K130" s="77"/>
      <c r="L130" s="33"/>
      <c r="M130" s="33"/>
      <c r="N130" s="33"/>
      <c r="O130" s="33"/>
      <c r="P130" s="33"/>
      <c r="Q130" s="175">
        <f t="shared" si="28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4"/>
        <v>0</v>
      </c>
      <c r="G131" s="78"/>
      <c r="H131" s="78"/>
      <c r="I131" s="179"/>
      <c r="J131" s="193">
        <f t="shared" si="26"/>
        <v>0</v>
      </c>
      <c r="K131" s="78"/>
      <c r="L131" s="54"/>
      <c r="M131" s="54"/>
      <c r="N131" s="54"/>
      <c r="O131" s="54"/>
      <c r="P131" s="54"/>
      <c r="Q131" s="180">
        <f t="shared" si="28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24"/>
        <v>0</v>
      </c>
      <c r="G132" s="77">
        <v>0</v>
      </c>
      <c r="H132" s="77"/>
      <c r="I132" s="174"/>
      <c r="J132" s="191">
        <f t="shared" si="26"/>
        <v>0</v>
      </c>
      <c r="K132" s="77"/>
      <c r="L132" s="33"/>
      <c r="M132" s="33"/>
      <c r="N132" s="33"/>
      <c r="O132" s="33"/>
      <c r="P132" s="33"/>
      <c r="Q132" s="175">
        <f t="shared" si="28"/>
        <v>0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24"/>
        <v>0</v>
      </c>
      <c r="G133" s="78">
        <v>15.39</v>
      </c>
      <c r="H133" s="78"/>
      <c r="I133" s="179"/>
      <c r="J133" s="193">
        <f t="shared" si="26"/>
        <v>0</v>
      </c>
      <c r="K133" s="78"/>
      <c r="L133" s="54"/>
      <c r="M133" s="54"/>
      <c r="N133" s="54"/>
      <c r="O133" s="54"/>
      <c r="P133" s="54"/>
      <c r="Q133" s="197">
        <f t="shared" si="28"/>
        <v>15.39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41">SUM(D134:E134)</f>
        <v>0</v>
      </c>
      <c r="G134" s="139"/>
      <c r="H134" s="139">
        <v>4.7300000000000002E-2</v>
      </c>
      <c r="I134" s="200"/>
      <c r="J134" s="199">
        <f t="shared" ref="J134:J142" si="42">SUM(H134:I134)</f>
        <v>4.7300000000000002E-2</v>
      </c>
      <c r="K134" s="139"/>
      <c r="L134" s="93"/>
      <c r="M134" s="93"/>
      <c r="N134" s="93"/>
      <c r="O134" s="93"/>
      <c r="P134" s="93"/>
      <c r="Q134" s="175">
        <f t="shared" si="28"/>
        <v>4.7300000000000002E-2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41"/>
        <v>0</v>
      </c>
      <c r="G135" s="77"/>
      <c r="H135" s="77"/>
      <c r="I135" s="174"/>
      <c r="J135" s="201">
        <f t="shared" si="42"/>
        <v>0</v>
      </c>
      <c r="K135" s="77"/>
      <c r="L135" s="33"/>
      <c r="M135" s="49"/>
      <c r="N135" s="33"/>
      <c r="O135" s="33"/>
      <c r="P135" s="33"/>
      <c r="Q135" s="175">
        <f t="shared" si="28"/>
        <v>0</v>
      </c>
      <c r="R135" s="27"/>
    </row>
    <row r="136" spans="1:18">
      <c r="A136" s="176" t="s">
        <v>18</v>
      </c>
      <c r="B136" s="54"/>
      <c r="C136" s="192" t="s">
        <v>13</v>
      </c>
      <c r="D136" s="53"/>
      <c r="E136" s="53"/>
      <c r="F136" s="202">
        <f t="shared" si="41"/>
        <v>0</v>
      </c>
      <c r="G136" s="78"/>
      <c r="H136" s="156">
        <v>42.444000000000003</v>
      </c>
      <c r="I136" s="179"/>
      <c r="J136" s="202">
        <f t="shared" si="42"/>
        <v>42.444000000000003</v>
      </c>
      <c r="K136" s="103"/>
      <c r="L136" s="54"/>
      <c r="M136" s="92"/>
      <c r="N136" s="54"/>
      <c r="O136" s="54"/>
      <c r="P136" s="54"/>
      <c r="Q136" s="197">
        <f t="shared" si="28"/>
        <v>42.444000000000003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41"/>
        <v>0</v>
      </c>
      <c r="G137" s="49">
        <f>+G130+G132+G134</f>
        <v>0</v>
      </c>
      <c r="H137" s="49">
        <f t="shared" ref="H137" si="43">+H130+H132+H134</f>
        <v>4.7300000000000002E-2</v>
      </c>
      <c r="I137" s="47"/>
      <c r="J137" s="199">
        <f t="shared" si="42"/>
        <v>4.7300000000000002E-2</v>
      </c>
      <c r="K137" s="49"/>
      <c r="L137" s="33"/>
      <c r="M137" s="97"/>
      <c r="N137" s="160"/>
      <c r="O137" s="93"/>
      <c r="P137" s="93"/>
      <c r="Q137" s="175">
        <f t="shared" si="28"/>
        <v>4.7300000000000002E-2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41"/>
        <v>0</v>
      </c>
      <c r="G138" s="98"/>
      <c r="H138" s="49"/>
      <c r="I138" s="50"/>
      <c r="J138" s="201">
        <f t="shared" si="42"/>
        <v>0</v>
      </c>
      <c r="K138" s="49"/>
      <c r="L138" s="33"/>
      <c r="M138" s="69"/>
      <c r="N138" s="69"/>
      <c r="O138" s="33"/>
      <c r="P138" s="33"/>
      <c r="Q138" s="175">
        <f t="shared" si="28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41"/>
        <v>0</v>
      </c>
      <c r="G139" s="68">
        <f>+G131+G133+G136</f>
        <v>15.39</v>
      </c>
      <c r="H139" s="68">
        <f t="shared" ref="H139" si="44">+H131+H133+H136</f>
        <v>42.444000000000003</v>
      </c>
      <c r="I139" s="63"/>
      <c r="J139" s="202">
        <f t="shared" si="42"/>
        <v>42.444000000000003</v>
      </c>
      <c r="K139" s="68"/>
      <c r="L139" s="54"/>
      <c r="M139" s="70"/>
      <c r="N139" s="70"/>
      <c r="O139" s="54"/>
      <c r="P139" s="54"/>
      <c r="Q139" s="197">
        <f t="shared" si="28"/>
        <v>57.834000000000003</v>
      </c>
      <c r="R139" s="27"/>
    </row>
    <row r="140" spans="1:18">
      <c r="A140" s="27"/>
      <c r="B140" s="28" t="s">
        <v>0</v>
      </c>
      <c r="C140" s="29" t="s">
        <v>11</v>
      </c>
      <c r="D140" s="125">
        <f t="shared" ref="D140:E140" si="45">D137+D128+D104</f>
        <v>497.23139999999995</v>
      </c>
      <c r="E140" s="127">
        <f t="shared" si="45"/>
        <v>1438.6617000000001</v>
      </c>
      <c r="F140" s="199">
        <f t="shared" si="41"/>
        <v>1935.8931</v>
      </c>
      <c r="G140" s="147">
        <f t="shared" ref="G140:H140" si="46">G137+G128+G104</f>
        <v>11801.554099999999</v>
      </c>
      <c r="H140" s="152">
        <f t="shared" si="46"/>
        <v>5611.2101999999995</v>
      </c>
      <c r="I140" s="57"/>
      <c r="J140" s="199">
        <f t="shared" si="42"/>
        <v>5611.2101999999995</v>
      </c>
      <c r="K140" s="155">
        <f>K137+K128+K104</f>
        <v>5284.9205000000011</v>
      </c>
      <c r="L140" s="93">
        <f t="shared" ref="L140:M140" si="47">L137+L128+L104</f>
        <v>240.95195000000001</v>
      </c>
      <c r="M140" s="97">
        <f t="shared" si="47"/>
        <v>11.9183</v>
      </c>
      <c r="N140" s="97">
        <f>N137+N128+N104</f>
        <v>53.177569999999996</v>
      </c>
      <c r="O140" s="93">
        <f t="shared" ref="O140:P140" si="48">O137+O128+O104</f>
        <v>11.589499999999999</v>
      </c>
      <c r="P140" s="93">
        <f t="shared" si="48"/>
        <v>23.692</v>
      </c>
      <c r="Q140" s="175">
        <f t="shared" si="28"/>
        <v>24974.907219999994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41"/>
        <v>0</v>
      </c>
      <c r="G141" s="148"/>
      <c r="H141" s="144"/>
      <c r="I141" s="206"/>
      <c r="J141" s="201">
        <f t="shared" si="42"/>
        <v>0</v>
      </c>
      <c r="K141" s="148"/>
      <c r="L141" s="33"/>
      <c r="M141" s="69"/>
      <c r="N141" s="69"/>
      <c r="O141" s="33"/>
      <c r="P141" s="33"/>
      <c r="Q141" s="175">
        <f t="shared" ref="Q141:Q142" si="49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 t="shared" ref="D142:E142" si="50">D139+D129+D105</f>
        <v>546924.42300000007</v>
      </c>
      <c r="E142" s="118">
        <f t="shared" si="50"/>
        <v>480284.37599999999</v>
      </c>
      <c r="F142" s="207">
        <f t="shared" si="41"/>
        <v>1027208.7990000001</v>
      </c>
      <c r="G142" s="149">
        <f t="shared" ref="G142:H142" si="51">G139+G129+G105</f>
        <v>2880979.8689999999</v>
      </c>
      <c r="H142" s="154">
        <f t="shared" si="51"/>
        <v>1004808.9890000001</v>
      </c>
      <c r="I142" s="58"/>
      <c r="J142" s="207">
        <f t="shared" si="42"/>
        <v>1004808.9890000001</v>
      </c>
      <c r="K142" s="149">
        <f>K139+K129+K105</f>
        <v>1005177.5759999998</v>
      </c>
      <c r="L142" s="37">
        <f t="shared" ref="L142:M142" si="52">L139+L129+L105</f>
        <v>86864.817999999985</v>
      </c>
      <c r="M142" s="71">
        <f t="shared" si="52"/>
        <v>20052.438840000003</v>
      </c>
      <c r="N142" s="71">
        <f>N139+N129+N105</f>
        <v>39360.852000000006</v>
      </c>
      <c r="O142" s="37">
        <f t="shared" ref="O142:P142" si="53">O139+O129+O105</f>
        <v>10986.241</v>
      </c>
      <c r="P142" s="37">
        <f t="shared" si="53"/>
        <v>18072.578519999999</v>
      </c>
      <c r="Q142" s="187">
        <f t="shared" si="49"/>
        <v>6093512.1613599993</v>
      </c>
      <c r="R142" s="27"/>
    </row>
    <row r="143" spans="1:18">
      <c r="Q143" s="208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111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0.28949999999999998</v>
      </c>
      <c r="H5" s="77">
        <v>65.601399999999998</v>
      </c>
      <c r="I5" s="174"/>
      <c r="J5" s="173">
        <f>SUM(H5:I5)</f>
        <v>65.601399999999998</v>
      </c>
      <c r="K5" s="77">
        <v>0.92800000000000005</v>
      </c>
      <c r="L5" s="33"/>
      <c r="M5" s="33"/>
      <c r="N5" s="33">
        <v>0.85299999999999998</v>
      </c>
      <c r="O5" s="33"/>
      <c r="P5" s="33"/>
      <c r="Q5" s="175">
        <f>SUM(F5:G5,J5:P5)</f>
        <v>67.671899999999994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15.423</v>
      </c>
      <c r="H6" s="78">
        <v>2135.7939999999999</v>
      </c>
      <c r="I6" s="179"/>
      <c r="J6" s="178">
        <f>SUM(H6:I6)</f>
        <v>2135.7939999999999</v>
      </c>
      <c r="K6" s="78">
        <v>20.218</v>
      </c>
      <c r="L6" s="54"/>
      <c r="M6" s="54"/>
      <c r="N6" s="54">
        <v>17.503</v>
      </c>
      <c r="O6" s="54"/>
      <c r="P6" s="54"/>
      <c r="Q6" s="180">
        <f>SUM(F6:G6,J6:P6)</f>
        <v>2188.9379999999996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8.5999999999999993E-2</v>
      </c>
      <c r="F7" s="181">
        <f t="shared" ref="F7:F68" si="0">SUM(D7:E7)</f>
        <v>8.5999999999999993E-2</v>
      </c>
      <c r="G7" s="77"/>
      <c r="H7" s="77">
        <v>150.518</v>
      </c>
      <c r="I7" s="174"/>
      <c r="J7" s="181">
        <f t="shared" ref="J7:J68" si="1">SUM(H7:I7)</f>
        <v>150.518</v>
      </c>
      <c r="K7" s="77">
        <v>5.5759999999999996</v>
      </c>
      <c r="L7" s="33">
        <v>2.75E-2</v>
      </c>
      <c r="M7" s="33"/>
      <c r="N7" s="33"/>
      <c r="O7" s="33"/>
      <c r="P7" s="33"/>
      <c r="Q7" s="175">
        <f t="shared" ref="Q7:Q68" si="2">SUM(F7:G7,J7:P7)</f>
        <v>156.20750000000001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38.880000000000003</v>
      </c>
      <c r="F8" s="178">
        <f t="shared" si="0"/>
        <v>38.880000000000003</v>
      </c>
      <c r="G8" s="78"/>
      <c r="H8" s="78">
        <v>3341.2629999999999</v>
      </c>
      <c r="I8" s="179"/>
      <c r="J8" s="178">
        <f t="shared" si="1"/>
        <v>3341.2629999999999</v>
      </c>
      <c r="K8" s="103">
        <v>105.726</v>
      </c>
      <c r="L8" s="54">
        <v>0.93400000000000005</v>
      </c>
      <c r="M8" s="54"/>
      <c r="N8" s="54"/>
      <c r="O8" s="54"/>
      <c r="P8" s="54"/>
      <c r="Q8" s="180">
        <f t="shared" si="2"/>
        <v>3486.8030000000003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f t="shared" ref="E9:E10" si="3">+E5+E7</f>
        <v>8.5999999999999993E-2</v>
      </c>
      <c r="F9" s="181">
        <f>SUM(D9:E9)</f>
        <v>8.5999999999999993E-2</v>
      </c>
      <c r="G9" s="49">
        <f t="shared" ref="G9:H10" si="4">+G5+G7</f>
        <v>0.28949999999999998</v>
      </c>
      <c r="H9" s="49">
        <f t="shared" si="4"/>
        <v>216.11939999999998</v>
      </c>
      <c r="I9" s="50"/>
      <c r="J9" s="181">
        <f>SUM(H9:I9)</f>
        <v>216.11939999999998</v>
      </c>
      <c r="K9" s="49">
        <f t="shared" ref="K9:L10" si="5">+K5+K7</f>
        <v>6.5039999999999996</v>
      </c>
      <c r="L9" s="33">
        <f t="shared" si="5"/>
        <v>2.75E-2</v>
      </c>
      <c r="M9" s="33"/>
      <c r="N9" s="33">
        <f>N5+N7</f>
        <v>0.85299999999999998</v>
      </c>
      <c r="O9" s="33"/>
      <c r="P9" s="33"/>
      <c r="Q9" s="175">
        <f t="shared" si="2"/>
        <v>223.87939999999998</v>
      </c>
      <c r="R9" s="47"/>
    </row>
    <row r="10" spans="1:18">
      <c r="A10" s="183"/>
      <c r="B10" s="309"/>
      <c r="C10" s="177" t="s">
        <v>13</v>
      </c>
      <c r="D10" s="54"/>
      <c r="E10" s="54">
        <f t="shared" si="3"/>
        <v>38.880000000000003</v>
      </c>
      <c r="F10" s="178">
        <f t="shared" si="0"/>
        <v>38.880000000000003</v>
      </c>
      <c r="G10" s="68">
        <f t="shared" si="4"/>
        <v>15.423</v>
      </c>
      <c r="H10" s="68">
        <f t="shared" si="4"/>
        <v>5477.0569999999998</v>
      </c>
      <c r="I10" s="63"/>
      <c r="J10" s="178">
        <f t="shared" si="1"/>
        <v>5477.0569999999998</v>
      </c>
      <c r="K10" s="68">
        <f t="shared" si="5"/>
        <v>125.944</v>
      </c>
      <c r="L10" s="54">
        <f t="shared" si="5"/>
        <v>0.93400000000000005</v>
      </c>
      <c r="M10" s="54"/>
      <c r="N10" s="54">
        <f>N6+N8</f>
        <v>17.503</v>
      </c>
      <c r="O10" s="54"/>
      <c r="P10" s="54"/>
      <c r="Q10" s="180">
        <f t="shared" si="2"/>
        <v>5675.741</v>
      </c>
      <c r="R10" s="47"/>
    </row>
    <row r="11" spans="1:18">
      <c r="A11" s="310" t="s">
        <v>20</v>
      </c>
      <c r="B11" s="311"/>
      <c r="C11" s="48" t="s">
        <v>11</v>
      </c>
      <c r="D11" s="52">
        <v>188.4041</v>
      </c>
      <c r="E11" s="52">
        <v>0.2165</v>
      </c>
      <c r="F11" s="181">
        <f t="shared" si="0"/>
        <v>188.6206</v>
      </c>
      <c r="G11" s="77">
        <v>1391.2478000000001</v>
      </c>
      <c r="H11" s="77">
        <v>6.7199999999999996E-2</v>
      </c>
      <c r="I11" s="174"/>
      <c r="J11" s="181">
        <f t="shared" si="1"/>
        <v>6.7199999999999996E-2</v>
      </c>
      <c r="K11" s="77">
        <v>2.5419999999999998</v>
      </c>
      <c r="L11" s="33">
        <v>1.2116</v>
      </c>
      <c r="M11" s="33"/>
      <c r="N11" s="33"/>
      <c r="O11" s="33"/>
      <c r="P11" s="33"/>
      <c r="Q11" s="175">
        <f t="shared" si="2"/>
        <v>1583.6892</v>
      </c>
      <c r="R11" s="47"/>
    </row>
    <row r="12" spans="1:18">
      <c r="A12" s="312"/>
      <c r="B12" s="313"/>
      <c r="C12" s="177" t="s">
        <v>13</v>
      </c>
      <c r="D12" s="53">
        <v>58651.609351064733</v>
      </c>
      <c r="E12" s="53">
        <v>209.072</v>
      </c>
      <c r="F12" s="178">
        <f t="shared" si="0"/>
        <v>58860.681351064733</v>
      </c>
      <c r="G12" s="78">
        <v>571205.36699999997</v>
      </c>
      <c r="H12" s="78">
        <v>119.946</v>
      </c>
      <c r="I12" s="179"/>
      <c r="J12" s="178">
        <f t="shared" si="1"/>
        <v>119.946</v>
      </c>
      <c r="K12" s="78">
        <v>192.21600000000001</v>
      </c>
      <c r="L12" s="54">
        <v>262.70499999999998</v>
      </c>
      <c r="M12" s="54"/>
      <c r="N12" s="54"/>
      <c r="O12" s="54"/>
      <c r="P12" s="54"/>
      <c r="Q12" s="180">
        <f t="shared" si="2"/>
        <v>630640.91535106464</v>
      </c>
      <c r="R12" s="47"/>
    </row>
    <row r="13" spans="1:18">
      <c r="A13" s="27"/>
      <c r="B13" s="306" t="s">
        <v>21</v>
      </c>
      <c r="C13" s="48" t="s">
        <v>11</v>
      </c>
      <c r="D13" s="52">
        <v>3.4918</v>
      </c>
      <c r="E13" s="52">
        <v>4.9724000000000004</v>
      </c>
      <c r="F13" s="181">
        <f t="shared" si="0"/>
        <v>8.4641999999999999</v>
      </c>
      <c r="G13" s="77">
        <v>0.73919999999999997</v>
      </c>
      <c r="H13" s="77">
        <v>0.19900000000000001</v>
      </c>
      <c r="I13" s="174"/>
      <c r="J13" s="181">
        <f t="shared" si="1"/>
        <v>0.19900000000000001</v>
      </c>
      <c r="K13" s="77">
        <v>0.19500000000000001</v>
      </c>
      <c r="L13" s="33">
        <v>7.7899999999999997E-2</v>
      </c>
      <c r="M13" s="33"/>
      <c r="N13" s="33"/>
      <c r="O13" s="33"/>
      <c r="P13" s="33"/>
      <c r="Q13" s="175">
        <f t="shared" si="2"/>
        <v>9.6753</v>
      </c>
      <c r="R13" s="47"/>
    </row>
    <row r="14" spans="1:18">
      <c r="A14" s="172" t="s">
        <v>0</v>
      </c>
      <c r="B14" s="307"/>
      <c r="C14" s="177" t="s">
        <v>13</v>
      </c>
      <c r="D14" s="53">
        <v>10452.801541377652</v>
      </c>
      <c r="E14" s="53">
        <v>15618.171</v>
      </c>
      <c r="F14" s="178">
        <f t="shared" si="0"/>
        <v>26070.972541377654</v>
      </c>
      <c r="G14" s="78">
        <v>1753.94</v>
      </c>
      <c r="H14" s="78">
        <v>539.38400000000001</v>
      </c>
      <c r="I14" s="179"/>
      <c r="J14" s="178">
        <f t="shared" si="1"/>
        <v>539.38400000000001</v>
      </c>
      <c r="K14" s="78">
        <v>549.51599999999996</v>
      </c>
      <c r="L14" s="54">
        <v>252.99</v>
      </c>
      <c r="M14" s="54"/>
      <c r="N14" s="54"/>
      <c r="O14" s="54"/>
      <c r="P14" s="54"/>
      <c r="Q14" s="180">
        <f t="shared" si="2"/>
        <v>29166.802541377656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1.1044</v>
      </c>
      <c r="E15" s="52"/>
      <c r="F15" s="181">
        <f t="shared" si="0"/>
        <v>1.1044</v>
      </c>
      <c r="G15" s="77">
        <v>2.1922000000000001</v>
      </c>
      <c r="H15" s="77">
        <v>0.7903</v>
      </c>
      <c r="I15" s="174"/>
      <c r="J15" s="181">
        <f t="shared" si="1"/>
        <v>0.7903</v>
      </c>
      <c r="K15" s="77">
        <v>0.48499999999999999</v>
      </c>
      <c r="L15" s="33">
        <v>0.15079999999999999</v>
      </c>
      <c r="M15" s="33"/>
      <c r="N15" s="33">
        <v>9.4200000000000006E-2</v>
      </c>
      <c r="O15" s="33"/>
      <c r="P15" s="33"/>
      <c r="Q15" s="175">
        <f t="shared" si="2"/>
        <v>4.8169000000000004</v>
      </c>
      <c r="R15" s="47"/>
    </row>
    <row r="16" spans="1:18">
      <c r="A16" s="176" t="s">
        <v>0</v>
      </c>
      <c r="B16" s="307"/>
      <c r="C16" s="177" t="s">
        <v>13</v>
      </c>
      <c r="D16" s="53">
        <v>306.98027827836535</v>
      </c>
      <c r="E16" s="53"/>
      <c r="F16" s="178">
        <f t="shared" si="0"/>
        <v>306.98027827836535</v>
      </c>
      <c r="G16" s="78">
        <v>2156.201</v>
      </c>
      <c r="H16" s="78">
        <v>1241.6020000000001</v>
      </c>
      <c r="I16" s="179"/>
      <c r="J16" s="178">
        <f t="shared" si="1"/>
        <v>1241.6020000000001</v>
      </c>
      <c r="K16" s="78">
        <v>939.87800000000004</v>
      </c>
      <c r="L16" s="54">
        <v>268.87599999999998</v>
      </c>
      <c r="M16" s="54"/>
      <c r="N16" s="54">
        <v>87.965999999999994</v>
      </c>
      <c r="O16" s="54"/>
      <c r="P16" s="54"/>
      <c r="Q16" s="180">
        <f t="shared" si="2"/>
        <v>5001.5032782783655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347.8424</v>
      </c>
      <c r="E17" s="52">
        <v>167.49940000000001</v>
      </c>
      <c r="F17" s="181">
        <f t="shared" si="0"/>
        <v>515.34180000000003</v>
      </c>
      <c r="G17" s="77">
        <v>60.945300000000003</v>
      </c>
      <c r="H17" s="77"/>
      <c r="I17" s="174"/>
      <c r="J17" s="181">
        <f t="shared" si="1"/>
        <v>0</v>
      </c>
      <c r="K17" s="77"/>
      <c r="L17" s="33">
        <v>0.18124999999999999</v>
      </c>
      <c r="M17" s="33"/>
      <c r="N17" s="33"/>
      <c r="O17" s="33"/>
      <c r="P17" s="33"/>
      <c r="Q17" s="175">
        <f t="shared" si="2"/>
        <v>576.46834999999999</v>
      </c>
      <c r="R17" s="47"/>
    </row>
    <row r="18" spans="1:18">
      <c r="A18" s="176"/>
      <c r="B18" s="307"/>
      <c r="C18" s="177" t="s">
        <v>13</v>
      </c>
      <c r="D18" s="53">
        <v>526960.65160465147</v>
      </c>
      <c r="E18" s="53">
        <v>264818.72600000002</v>
      </c>
      <c r="F18" s="178">
        <f t="shared" si="0"/>
        <v>791779.3776046515</v>
      </c>
      <c r="G18" s="78">
        <v>84051.884999999995</v>
      </c>
      <c r="H18" s="78"/>
      <c r="I18" s="179"/>
      <c r="J18" s="178">
        <f t="shared" si="1"/>
        <v>0</v>
      </c>
      <c r="K18" s="78"/>
      <c r="L18" s="54">
        <v>307.52699999999999</v>
      </c>
      <c r="M18" s="54"/>
      <c r="N18" s="54"/>
      <c r="O18" s="54"/>
      <c r="P18" s="54"/>
      <c r="Q18" s="180">
        <f t="shared" si="2"/>
        <v>876138.78960465151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7.3319999999999999</v>
      </c>
      <c r="E19" s="52">
        <v>4.2336</v>
      </c>
      <c r="F19" s="181">
        <f t="shared" si="0"/>
        <v>11.5656</v>
      </c>
      <c r="G19" s="77">
        <v>1.2010000000000001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12.7666</v>
      </c>
      <c r="R19" s="47"/>
    </row>
    <row r="20" spans="1:18">
      <c r="A20" s="176"/>
      <c r="B20" s="177" t="s">
        <v>28</v>
      </c>
      <c r="C20" s="177" t="s">
        <v>13</v>
      </c>
      <c r="D20" s="53">
        <v>9490.1457067765059</v>
      </c>
      <c r="E20" s="53">
        <v>5497.28</v>
      </c>
      <c r="F20" s="178">
        <f t="shared" si="0"/>
        <v>14987.425706776507</v>
      </c>
      <c r="G20" s="78">
        <v>1318.1320000000001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16305.557706776506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93.023399999999995</v>
      </c>
      <c r="E21" s="52">
        <v>49.344799999999999</v>
      </c>
      <c r="F21" s="181">
        <f t="shared" si="0"/>
        <v>142.3682</v>
      </c>
      <c r="G21" s="77">
        <v>10.8734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153.24160000000001</v>
      </c>
      <c r="R21" s="47"/>
    </row>
    <row r="22" spans="1:18">
      <c r="A22" s="27"/>
      <c r="B22" s="307"/>
      <c r="C22" s="177" t="s">
        <v>13</v>
      </c>
      <c r="D22" s="53">
        <v>38860.396702059603</v>
      </c>
      <c r="E22" s="53">
        <v>21304.67</v>
      </c>
      <c r="F22" s="178">
        <f t="shared" si="0"/>
        <v>60165.066702059601</v>
      </c>
      <c r="G22" s="78">
        <v>5616.6779999999999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4"/>
      <c r="Q22" s="180">
        <f t="shared" si="2"/>
        <v>65781.744702059601</v>
      </c>
      <c r="R22" s="47"/>
    </row>
    <row r="23" spans="1:18">
      <c r="A23" s="27"/>
      <c r="B23" s="308" t="s">
        <v>19</v>
      </c>
      <c r="C23" s="48" t="s">
        <v>11</v>
      </c>
      <c r="D23" s="33">
        <f t="shared" ref="D23:E24" si="6">+D13+D15+D17+D19+D21</f>
        <v>452.79399999999998</v>
      </c>
      <c r="E23" s="33">
        <f t="shared" si="6"/>
        <v>226.05019999999999</v>
      </c>
      <c r="F23" s="181">
        <f t="shared" si="0"/>
        <v>678.8442</v>
      </c>
      <c r="G23" s="49">
        <f t="shared" ref="G23:H24" si="7">+G13+G15+G17+G19+G21</f>
        <v>75.951099999999997</v>
      </c>
      <c r="H23" s="49">
        <f t="shared" si="7"/>
        <v>0.98930000000000007</v>
      </c>
      <c r="I23" s="50"/>
      <c r="J23" s="181">
        <f t="shared" si="1"/>
        <v>0.98930000000000007</v>
      </c>
      <c r="K23" s="49">
        <f t="shared" ref="K23:L24" si="8">+K13+K15+K17+K19+K21</f>
        <v>0.67999999999999994</v>
      </c>
      <c r="L23" s="33">
        <f t="shared" si="8"/>
        <v>0.40994999999999998</v>
      </c>
      <c r="M23" s="33"/>
      <c r="N23" s="33">
        <f>+N13+N15+N17+N19+N21</f>
        <v>9.4200000000000006E-2</v>
      </c>
      <c r="O23" s="33"/>
      <c r="P23" s="33"/>
      <c r="Q23" s="175">
        <f t="shared" si="2"/>
        <v>756.96874999999989</v>
      </c>
      <c r="R23" s="47"/>
    </row>
    <row r="24" spans="1:18">
      <c r="A24" s="183"/>
      <c r="B24" s="309"/>
      <c r="C24" s="177" t="s">
        <v>13</v>
      </c>
      <c r="D24" s="54">
        <f t="shared" si="6"/>
        <v>586070.97583314357</v>
      </c>
      <c r="E24" s="54">
        <f t="shared" si="6"/>
        <v>307238.84700000001</v>
      </c>
      <c r="F24" s="178">
        <f t="shared" si="0"/>
        <v>893309.82283314364</v>
      </c>
      <c r="G24" s="68">
        <f t="shared" si="7"/>
        <v>94896.835999999996</v>
      </c>
      <c r="H24" s="68">
        <f t="shared" si="7"/>
        <v>1780.9860000000001</v>
      </c>
      <c r="I24" s="63"/>
      <c r="J24" s="178">
        <f t="shared" si="1"/>
        <v>1780.9860000000001</v>
      </c>
      <c r="K24" s="68">
        <f t="shared" si="8"/>
        <v>1489.394</v>
      </c>
      <c r="L24" s="54">
        <f t="shared" si="8"/>
        <v>829.39300000000003</v>
      </c>
      <c r="M24" s="54"/>
      <c r="N24" s="54">
        <f>+N14+N16+N18+N20+N22</f>
        <v>87.965999999999994</v>
      </c>
      <c r="O24" s="54"/>
      <c r="P24" s="54"/>
      <c r="Q24" s="180">
        <f t="shared" si="2"/>
        <v>992394.39783314371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12.702999999999999</v>
      </c>
      <c r="E25" s="52">
        <v>5.9630000000000001</v>
      </c>
      <c r="F25" s="181">
        <f t="shared" si="0"/>
        <v>18.666</v>
      </c>
      <c r="G25" s="77">
        <v>228.11099999999999</v>
      </c>
      <c r="H25" s="77"/>
      <c r="I25" s="174"/>
      <c r="J25" s="181">
        <f t="shared" si="1"/>
        <v>0</v>
      </c>
      <c r="K25" s="77"/>
      <c r="L25" s="33">
        <v>0.1</v>
      </c>
      <c r="M25" s="33"/>
      <c r="N25" s="33"/>
      <c r="O25" s="33"/>
      <c r="P25" s="33"/>
      <c r="Q25" s="175">
        <f t="shared" si="2"/>
        <v>246.87699999999998</v>
      </c>
      <c r="R25" s="47"/>
    </row>
    <row r="26" spans="1:18">
      <c r="A26" s="176" t="s">
        <v>31</v>
      </c>
      <c r="B26" s="307"/>
      <c r="C26" s="177" t="s">
        <v>13</v>
      </c>
      <c r="D26" s="53">
        <v>9401.810347271914</v>
      </c>
      <c r="E26" s="53">
        <v>4976.6509999999998</v>
      </c>
      <c r="F26" s="178">
        <f t="shared" si="0"/>
        <v>14378.461347271914</v>
      </c>
      <c r="G26" s="78">
        <v>217101.55300000001</v>
      </c>
      <c r="H26" s="78"/>
      <c r="I26" s="179"/>
      <c r="J26" s="178">
        <f t="shared" si="1"/>
        <v>0</v>
      </c>
      <c r="K26" s="78"/>
      <c r="L26" s="54">
        <v>55.512</v>
      </c>
      <c r="M26" s="54"/>
      <c r="N26" s="54"/>
      <c r="O26" s="54"/>
      <c r="P26" s="54"/>
      <c r="Q26" s="180">
        <f t="shared" si="2"/>
        <v>231535.52634727192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61.69</v>
      </c>
      <c r="E27" s="52">
        <v>24.388000000000002</v>
      </c>
      <c r="F27" s="181">
        <f t="shared" si="0"/>
        <v>86.078000000000003</v>
      </c>
      <c r="G27" s="77">
        <v>14.9642</v>
      </c>
      <c r="H27" s="77"/>
      <c r="I27" s="174"/>
      <c r="J27" s="181">
        <f t="shared" si="1"/>
        <v>0</v>
      </c>
      <c r="K27" s="138"/>
      <c r="L27" s="33"/>
      <c r="M27" s="33"/>
      <c r="N27" s="33"/>
      <c r="O27" s="33"/>
      <c r="P27" s="33"/>
      <c r="Q27" s="175">
        <f t="shared" si="2"/>
        <v>101.04220000000001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23778.791866641626</v>
      </c>
      <c r="E28" s="53">
        <v>9522.6080000000002</v>
      </c>
      <c r="F28" s="178">
        <f t="shared" si="0"/>
        <v>33301.39986664163</v>
      </c>
      <c r="G28" s="78">
        <v>9977.9660000000003</v>
      </c>
      <c r="H28" s="103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43279.36586664163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f t="shared" ref="D29:E30" si="9">+D25+D27</f>
        <v>74.393000000000001</v>
      </c>
      <c r="E29" s="33">
        <f t="shared" si="9"/>
        <v>30.351000000000003</v>
      </c>
      <c r="F29" s="181">
        <f t="shared" si="0"/>
        <v>104.744</v>
      </c>
      <c r="G29" s="49">
        <f t="shared" ref="G29:G30" si="10">+G25+G27</f>
        <v>243.0752</v>
      </c>
      <c r="H29" s="49"/>
      <c r="I29" s="50"/>
      <c r="J29" s="181">
        <f t="shared" si="1"/>
        <v>0</v>
      </c>
      <c r="K29" s="49"/>
      <c r="L29" s="33">
        <f t="shared" ref="L29:L30" si="11">+L25+L27</f>
        <v>0.1</v>
      </c>
      <c r="M29" s="55"/>
      <c r="N29" s="55"/>
      <c r="O29" s="33"/>
      <c r="P29" s="33"/>
      <c r="Q29" s="175">
        <f t="shared" si="2"/>
        <v>347.91920000000005</v>
      </c>
      <c r="R29" s="47"/>
    </row>
    <row r="30" spans="1:18">
      <c r="A30" s="183"/>
      <c r="B30" s="309"/>
      <c r="C30" s="177" t="s">
        <v>13</v>
      </c>
      <c r="D30" s="54">
        <f t="shared" si="9"/>
        <v>33180.602213913538</v>
      </c>
      <c r="E30" s="54">
        <f t="shared" si="9"/>
        <v>14499.259</v>
      </c>
      <c r="F30" s="178">
        <f t="shared" si="0"/>
        <v>47679.861213913537</v>
      </c>
      <c r="G30" s="68">
        <f t="shared" si="10"/>
        <v>227079.51900000003</v>
      </c>
      <c r="H30" s="68"/>
      <c r="I30" s="63"/>
      <c r="J30" s="178">
        <f t="shared" si="1"/>
        <v>0</v>
      </c>
      <c r="K30" s="68"/>
      <c r="L30" s="54">
        <f t="shared" si="11"/>
        <v>55.512</v>
      </c>
      <c r="M30" s="68"/>
      <c r="N30" s="68"/>
      <c r="O30" s="54"/>
      <c r="P30" s="54"/>
      <c r="Q30" s="180">
        <f t="shared" si="2"/>
        <v>274814.89221391355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/>
      <c r="E31" s="52">
        <v>7.1199999999999999E-2</v>
      </c>
      <c r="F31" s="181">
        <f t="shared" si="0"/>
        <v>7.1199999999999999E-2</v>
      </c>
      <c r="G31" s="77">
        <v>0.81479999999999997</v>
      </c>
      <c r="H31" s="77">
        <v>405.39240000000001</v>
      </c>
      <c r="I31" s="174"/>
      <c r="J31" s="181">
        <f t="shared" si="1"/>
        <v>405.39240000000001</v>
      </c>
      <c r="K31" s="77">
        <v>45.6083</v>
      </c>
      <c r="L31" s="33">
        <v>1.0173000000000001</v>
      </c>
      <c r="M31" s="33"/>
      <c r="N31" s="33"/>
      <c r="O31" s="33"/>
      <c r="P31" s="33"/>
      <c r="Q31" s="175">
        <f t="shared" si="2"/>
        <v>452.904</v>
      </c>
      <c r="R31" s="47"/>
    </row>
    <row r="32" spans="1:18">
      <c r="A32" s="176" t="s">
        <v>36</v>
      </c>
      <c r="B32" s="307"/>
      <c r="C32" s="177" t="s">
        <v>13</v>
      </c>
      <c r="D32" s="53"/>
      <c r="E32" s="53">
        <v>59.508000000000003</v>
      </c>
      <c r="F32" s="178">
        <f t="shared" si="0"/>
        <v>59.508000000000003</v>
      </c>
      <c r="G32" s="78">
        <v>437.41800000000001</v>
      </c>
      <c r="H32" s="78">
        <v>144194.53200000001</v>
      </c>
      <c r="I32" s="179"/>
      <c r="J32" s="178">
        <f t="shared" si="1"/>
        <v>144194.53200000001</v>
      </c>
      <c r="K32" s="78">
        <v>6678.7330000000002</v>
      </c>
      <c r="L32" s="54">
        <v>219.785</v>
      </c>
      <c r="M32" s="54"/>
      <c r="N32" s="54"/>
      <c r="O32" s="54"/>
      <c r="P32" s="54"/>
      <c r="Q32" s="180">
        <f t="shared" si="2"/>
        <v>151589.97600000002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/>
      <c r="E33" s="52"/>
      <c r="F33" s="181">
        <f t="shared" si="0"/>
        <v>0</v>
      </c>
      <c r="G33" s="77">
        <v>0.02</v>
      </c>
      <c r="H33" s="77">
        <v>12.6996</v>
      </c>
      <c r="I33" s="174"/>
      <c r="J33" s="181">
        <f t="shared" si="1"/>
        <v>12.6996</v>
      </c>
      <c r="K33" s="77">
        <v>1.4271</v>
      </c>
      <c r="L33" s="33">
        <v>3.9399999999999998E-2</v>
      </c>
      <c r="M33" s="33"/>
      <c r="N33" s="33"/>
      <c r="O33" s="33"/>
      <c r="P33" s="33"/>
      <c r="Q33" s="175">
        <f t="shared" si="2"/>
        <v>14.1861</v>
      </c>
      <c r="R33" s="47"/>
    </row>
    <row r="34" spans="1:18">
      <c r="A34" s="176" t="s">
        <v>38</v>
      </c>
      <c r="B34" s="307"/>
      <c r="C34" s="177" t="s">
        <v>13</v>
      </c>
      <c r="D34" s="53"/>
      <c r="E34" s="53"/>
      <c r="F34" s="178">
        <f t="shared" si="0"/>
        <v>0</v>
      </c>
      <c r="G34" s="78">
        <v>11.598000000000001</v>
      </c>
      <c r="H34" s="78">
        <v>2827.5880000000002</v>
      </c>
      <c r="I34" s="179"/>
      <c r="J34" s="178">
        <f t="shared" si="1"/>
        <v>2827.5880000000002</v>
      </c>
      <c r="K34" s="78">
        <v>105.16</v>
      </c>
      <c r="L34" s="54">
        <v>11.56</v>
      </c>
      <c r="M34" s="54"/>
      <c r="N34" s="54"/>
      <c r="O34" s="54"/>
      <c r="P34" s="54"/>
      <c r="Q34" s="180">
        <f t="shared" si="2"/>
        <v>2955.9059999999999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330.20499999999998</v>
      </c>
      <c r="I35" s="174"/>
      <c r="J35" s="181">
        <f t="shared" si="1"/>
        <v>330.20499999999998</v>
      </c>
      <c r="K35" s="77">
        <v>14.576000000000001</v>
      </c>
      <c r="L35" s="33"/>
      <c r="M35" s="33"/>
      <c r="N35" s="33">
        <v>0.2107</v>
      </c>
      <c r="O35" s="33"/>
      <c r="P35" s="33"/>
      <c r="Q35" s="175">
        <f t="shared" si="2"/>
        <v>344.99169999999998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21409.751</v>
      </c>
      <c r="I36" s="179"/>
      <c r="J36" s="178">
        <f t="shared" si="1"/>
        <v>21409.751</v>
      </c>
      <c r="K36" s="78">
        <v>753.33399999999995</v>
      </c>
      <c r="L36" s="54"/>
      <c r="M36" s="54"/>
      <c r="N36" s="54">
        <v>42.585000000000001</v>
      </c>
      <c r="O36" s="54"/>
      <c r="P36" s="54"/>
      <c r="Q36" s="180">
        <f t="shared" si="2"/>
        <v>22205.67</v>
      </c>
      <c r="R36" s="47"/>
    </row>
    <row r="37" spans="1:18">
      <c r="A37" s="27"/>
      <c r="B37" s="308" t="s">
        <v>19</v>
      </c>
      <c r="C37" s="48" t="s">
        <v>11</v>
      </c>
      <c r="D37" s="33"/>
      <c r="E37" s="33">
        <f t="shared" ref="E37:E38" si="12">+E31+E33+E35</f>
        <v>7.1199999999999999E-2</v>
      </c>
      <c r="F37" s="181">
        <f t="shared" si="0"/>
        <v>7.1199999999999999E-2</v>
      </c>
      <c r="G37" s="49">
        <f>+G31+G33+G35</f>
        <v>0.83479999999999999</v>
      </c>
      <c r="H37" s="49">
        <f t="shared" ref="H37:H38" si="13">+H31+H33+H35</f>
        <v>748.29700000000003</v>
      </c>
      <c r="I37" s="50"/>
      <c r="J37" s="181">
        <f t="shared" si="1"/>
        <v>748.29700000000003</v>
      </c>
      <c r="K37" s="49">
        <f t="shared" ref="K37:L38" si="14">+K31+K33+K35</f>
        <v>61.611400000000003</v>
      </c>
      <c r="L37" s="33">
        <f t="shared" si="14"/>
        <v>1.0567000000000002</v>
      </c>
      <c r="M37" s="33"/>
      <c r="N37" s="33">
        <f t="shared" ref="N37:N38" si="15">+N31+N33+N35</f>
        <v>0.2107</v>
      </c>
      <c r="O37" s="33"/>
      <c r="P37" s="33"/>
      <c r="Q37" s="175">
        <f t="shared" si="2"/>
        <v>812.08179999999993</v>
      </c>
      <c r="R37" s="47"/>
    </row>
    <row r="38" spans="1:18">
      <c r="A38" s="183"/>
      <c r="B38" s="309"/>
      <c r="C38" s="177" t="s">
        <v>13</v>
      </c>
      <c r="D38" s="54"/>
      <c r="E38" s="54">
        <f t="shared" si="12"/>
        <v>59.508000000000003</v>
      </c>
      <c r="F38" s="178">
        <f t="shared" si="0"/>
        <v>59.508000000000003</v>
      </c>
      <c r="G38" s="68">
        <f>+G32+G34+G36</f>
        <v>449.01600000000002</v>
      </c>
      <c r="H38" s="68">
        <f t="shared" si="13"/>
        <v>168431.87099999998</v>
      </c>
      <c r="I38" s="63"/>
      <c r="J38" s="178">
        <f t="shared" si="1"/>
        <v>168431.87099999998</v>
      </c>
      <c r="K38" s="68">
        <f t="shared" si="14"/>
        <v>7537.2269999999999</v>
      </c>
      <c r="L38" s="54">
        <f t="shared" si="14"/>
        <v>231.345</v>
      </c>
      <c r="M38" s="54"/>
      <c r="N38" s="54">
        <f t="shared" si="15"/>
        <v>42.585000000000001</v>
      </c>
      <c r="O38" s="54"/>
      <c r="P38" s="54"/>
      <c r="Q38" s="180">
        <f t="shared" si="2"/>
        <v>176751.552</v>
      </c>
      <c r="R38" s="47"/>
    </row>
    <row r="39" spans="1:18">
      <c r="A39" s="310" t="s">
        <v>40</v>
      </c>
      <c r="B39" s="311"/>
      <c r="C39" s="48" t="s">
        <v>11</v>
      </c>
      <c r="D39" s="52">
        <v>7.6600000000000001E-2</v>
      </c>
      <c r="E39" s="52">
        <v>0.107</v>
      </c>
      <c r="F39" s="181">
        <f t="shared" si="0"/>
        <v>0.18359999999999999</v>
      </c>
      <c r="G39" s="77">
        <v>0.34399999999999997</v>
      </c>
      <c r="H39" s="77">
        <v>28.29</v>
      </c>
      <c r="I39" s="174"/>
      <c r="J39" s="181">
        <f t="shared" si="1"/>
        <v>28.29</v>
      </c>
      <c r="K39" s="77">
        <v>3.9216000000000002</v>
      </c>
      <c r="L39" s="33">
        <v>1.2664</v>
      </c>
      <c r="M39" s="33"/>
      <c r="N39" s="33">
        <v>0.34449999999999997</v>
      </c>
      <c r="O39" s="33">
        <v>1.8E-3</v>
      </c>
      <c r="P39" s="33">
        <v>1.4241999999999999</v>
      </c>
      <c r="Q39" s="175">
        <f t="shared" si="2"/>
        <v>35.776099999999992</v>
      </c>
      <c r="R39" s="47"/>
    </row>
    <row r="40" spans="1:18">
      <c r="A40" s="312"/>
      <c r="B40" s="313"/>
      <c r="C40" s="177" t="s">
        <v>13</v>
      </c>
      <c r="D40" s="53">
        <v>107.97839939442576</v>
      </c>
      <c r="E40" s="53">
        <v>52.03</v>
      </c>
      <c r="F40" s="178">
        <f t="shared" si="0"/>
        <v>160.00839939442577</v>
      </c>
      <c r="G40" s="78">
        <v>100.545</v>
      </c>
      <c r="H40" s="78">
        <v>13080.664000000001</v>
      </c>
      <c r="I40" s="179"/>
      <c r="J40" s="178">
        <f t="shared" si="1"/>
        <v>13080.664000000001</v>
      </c>
      <c r="K40" s="78">
        <v>1633.5450000000001</v>
      </c>
      <c r="L40" s="54">
        <v>255.43299999999999</v>
      </c>
      <c r="M40" s="54"/>
      <c r="N40" s="54">
        <v>152.893</v>
      </c>
      <c r="O40" s="54">
        <v>9.7000000000000003E-2</v>
      </c>
      <c r="P40" s="54">
        <f>419.845*1.08</f>
        <v>453.43260000000004</v>
      </c>
      <c r="Q40" s="180">
        <f t="shared" si="2"/>
        <v>15836.617999394426</v>
      </c>
      <c r="R40" s="47"/>
    </row>
    <row r="41" spans="1:18">
      <c r="A41" s="310" t="s">
        <v>41</v>
      </c>
      <c r="B41" s="311"/>
      <c r="C41" s="48" t="s">
        <v>11</v>
      </c>
      <c r="D41" s="52">
        <v>0.57950000000000002</v>
      </c>
      <c r="E41" s="52">
        <v>0.29210000000000003</v>
      </c>
      <c r="F41" s="181">
        <f t="shared" si="0"/>
        <v>0.87160000000000004</v>
      </c>
      <c r="G41" s="77">
        <v>459.73680000000002</v>
      </c>
      <c r="H41" s="77">
        <v>165.1696</v>
      </c>
      <c r="I41" s="174"/>
      <c r="J41" s="181">
        <f t="shared" si="1"/>
        <v>165.1696</v>
      </c>
      <c r="K41" s="77">
        <v>178.50409999999999</v>
      </c>
      <c r="L41" s="33">
        <v>29.616</v>
      </c>
      <c r="M41" s="33"/>
      <c r="N41" s="33">
        <v>1.9941</v>
      </c>
      <c r="O41" s="33">
        <v>4.4000000000000003E-3</v>
      </c>
      <c r="P41" s="33">
        <v>1.8658999999999999</v>
      </c>
      <c r="Q41" s="175">
        <f t="shared" si="2"/>
        <v>837.76250000000005</v>
      </c>
      <c r="R41" s="47"/>
    </row>
    <row r="42" spans="1:18">
      <c r="A42" s="312"/>
      <c r="B42" s="313"/>
      <c r="C42" s="177" t="s">
        <v>13</v>
      </c>
      <c r="D42" s="53">
        <v>622.94399650634898</v>
      </c>
      <c r="E42" s="53">
        <v>183.64400000000001</v>
      </c>
      <c r="F42" s="178">
        <f t="shared" si="0"/>
        <v>806.58799650634899</v>
      </c>
      <c r="G42" s="78">
        <v>61963.131000000001</v>
      </c>
      <c r="H42" s="78">
        <v>30315.628000000001</v>
      </c>
      <c r="I42" s="179"/>
      <c r="J42" s="178">
        <f t="shared" si="1"/>
        <v>30315.628000000001</v>
      </c>
      <c r="K42" s="78">
        <v>29853.048999999999</v>
      </c>
      <c r="L42" s="54">
        <v>1547.16</v>
      </c>
      <c r="M42" s="54"/>
      <c r="N42" s="54">
        <v>167.53200000000001</v>
      </c>
      <c r="O42" s="54">
        <v>0.442</v>
      </c>
      <c r="P42" s="54">
        <f>98.385*1.08</f>
        <v>106.25580000000001</v>
      </c>
      <c r="Q42" s="180">
        <f t="shared" si="2"/>
        <v>124759.78579650636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4.1999999999999997E-3</v>
      </c>
      <c r="H45" s="77">
        <v>3.3999999999999998E-3</v>
      </c>
      <c r="I45" s="174"/>
      <c r="J45" s="181">
        <f t="shared" si="1"/>
        <v>3.3999999999999998E-3</v>
      </c>
      <c r="K45" s="77"/>
      <c r="L45" s="33"/>
      <c r="M45" s="33"/>
      <c r="N45" s="33"/>
      <c r="O45" s="33"/>
      <c r="P45" s="33"/>
      <c r="Q45" s="175">
        <f t="shared" si="2"/>
        <v>7.5999999999999991E-3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>
        <v>5.3979999999999997</v>
      </c>
      <c r="H46" s="78">
        <v>3.78</v>
      </c>
      <c r="I46" s="179"/>
      <c r="J46" s="178">
        <f t="shared" si="1"/>
        <v>3.78</v>
      </c>
      <c r="K46" s="78"/>
      <c r="L46" s="54"/>
      <c r="M46" s="54"/>
      <c r="N46" s="54"/>
      <c r="O46" s="54"/>
      <c r="P46" s="54"/>
      <c r="Q46" s="180">
        <f t="shared" si="2"/>
        <v>9.177999999999999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>
        <v>6.0000000000000001E-3</v>
      </c>
      <c r="H47" s="77">
        <v>2.46E-2</v>
      </c>
      <c r="I47" s="174"/>
      <c r="J47" s="181">
        <f t="shared" si="1"/>
        <v>2.46E-2</v>
      </c>
      <c r="K47" s="77"/>
      <c r="L47" s="33"/>
      <c r="M47" s="33"/>
      <c r="N47" s="33"/>
      <c r="O47" s="33"/>
      <c r="P47" s="33"/>
      <c r="Q47" s="175">
        <f t="shared" si="2"/>
        <v>3.0600000000000002E-2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>
        <v>3.24</v>
      </c>
      <c r="H48" s="78">
        <v>22.594999999999999</v>
      </c>
      <c r="I48" s="179"/>
      <c r="J48" s="178">
        <f t="shared" si="1"/>
        <v>22.594999999999999</v>
      </c>
      <c r="K48" s="78"/>
      <c r="L48" s="54"/>
      <c r="M48" s="54"/>
      <c r="N48" s="54"/>
      <c r="O48" s="54"/>
      <c r="P48" s="54"/>
      <c r="Q48" s="180">
        <f t="shared" si="2"/>
        <v>25.835000000000001</v>
      </c>
      <c r="R48" s="47"/>
    </row>
    <row r="49" spans="1:18">
      <c r="A49" s="310" t="s">
        <v>45</v>
      </c>
      <c r="B49" s="311"/>
      <c r="C49" s="48" t="s">
        <v>11</v>
      </c>
      <c r="D49" s="52">
        <v>144.12870000000001</v>
      </c>
      <c r="E49" s="52">
        <v>43.542499999999997</v>
      </c>
      <c r="F49" s="181">
        <f t="shared" si="0"/>
        <v>187.6712</v>
      </c>
      <c r="G49" s="77">
        <v>555.48540000000003</v>
      </c>
      <c r="H49" s="77">
        <v>5414.3638000000001</v>
      </c>
      <c r="I49" s="174"/>
      <c r="J49" s="181">
        <f t="shared" si="1"/>
        <v>5414.3638000000001</v>
      </c>
      <c r="K49" s="77">
        <v>85.705200000000005</v>
      </c>
      <c r="L49" s="33">
        <v>27.332699999999999</v>
      </c>
      <c r="M49" s="33"/>
      <c r="N49" s="33">
        <v>1.9830000000000001</v>
      </c>
      <c r="O49" s="33"/>
      <c r="P49" s="33">
        <v>7.2977400000000001</v>
      </c>
      <c r="Q49" s="175">
        <f t="shared" si="2"/>
        <v>6279.8390400000008</v>
      </c>
      <c r="R49" s="47"/>
    </row>
    <row r="50" spans="1:18">
      <c r="A50" s="312"/>
      <c r="B50" s="313"/>
      <c r="C50" s="177" t="s">
        <v>13</v>
      </c>
      <c r="D50" s="53">
        <v>11736.262734179627</v>
      </c>
      <c r="E50" s="53">
        <v>3290.74</v>
      </c>
      <c r="F50" s="178">
        <f t="shared" si="0"/>
        <v>15027.002734179627</v>
      </c>
      <c r="G50" s="78">
        <v>43027.357000000004</v>
      </c>
      <c r="H50" s="78">
        <v>385516.39600000001</v>
      </c>
      <c r="I50" s="179"/>
      <c r="J50" s="178">
        <f t="shared" si="1"/>
        <v>385516.39600000001</v>
      </c>
      <c r="K50" s="78">
        <v>7752.7150000000001</v>
      </c>
      <c r="L50" s="54">
        <v>5241.2669999999998</v>
      </c>
      <c r="M50" s="54"/>
      <c r="N50" s="54">
        <v>60.576999999999998</v>
      </c>
      <c r="O50" s="54"/>
      <c r="P50" s="54">
        <f>3868.567*1.08</f>
        <v>4178.0523600000006</v>
      </c>
      <c r="Q50" s="180">
        <f t="shared" si="2"/>
        <v>460803.36709417962</v>
      </c>
      <c r="R50" s="47"/>
    </row>
    <row r="51" spans="1:18">
      <c r="A51" s="310" t="s">
        <v>46</v>
      </c>
      <c r="B51" s="311"/>
      <c r="C51" s="48" t="s">
        <v>11</v>
      </c>
      <c r="D51" s="52">
        <v>4.3600000000000003</v>
      </c>
      <c r="E51" s="52">
        <v>9.0920000000000005</v>
      </c>
      <c r="F51" s="181">
        <f t="shared" si="0"/>
        <v>13.452000000000002</v>
      </c>
      <c r="G51" s="77">
        <v>10179.3771</v>
      </c>
      <c r="H51" s="77">
        <v>8.7040000000000006</v>
      </c>
      <c r="I51" s="174"/>
      <c r="J51" s="181">
        <f t="shared" si="1"/>
        <v>8.7040000000000006</v>
      </c>
      <c r="K51" s="77">
        <v>8266.7559000000001</v>
      </c>
      <c r="L51" s="33">
        <v>0.36649999999999999</v>
      </c>
      <c r="M51" s="33"/>
      <c r="N51" s="33"/>
      <c r="O51" s="33"/>
      <c r="P51" s="33"/>
      <c r="Q51" s="175">
        <f t="shared" si="2"/>
        <v>18468.655499999997</v>
      </c>
      <c r="R51" s="47"/>
    </row>
    <row r="52" spans="1:18">
      <c r="A52" s="312"/>
      <c r="B52" s="313"/>
      <c r="C52" s="177" t="s">
        <v>13</v>
      </c>
      <c r="D52" s="53">
        <v>2195.899187684759</v>
      </c>
      <c r="E52" s="53">
        <v>3983.3440000000001</v>
      </c>
      <c r="F52" s="178">
        <f t="shared" si="0"/>
        <v>6179.2431876847586</v>
      </c>
      <c r="G52" s="78">
        <v>1050184.023</v>
      </c>
      <c r="H52" s="78">
        <v>3415.74</v>
      </c>
      <c r="I52" s="179"/>
      <c r="J52" s="178">
        <f t="shared" si="1"/>
        <v>3415.74</v>
      </c>
      <c r="K52" s="78">
        <v>940683.86699999997</v>
      </c>
      <c r="L52" s="54">
        <v>150.84399999999999</v>
      </c>
      <c r="M52" s="54"/>
      <c r="N52" s="54"/>
      <c r="O52" s="54"/>
      <c r="P52" s="54"/>
      <c r="Q52" s="180">
        <f t="shared" si="2"/>
        <v>2000613.717187685</v>
      </c>
      <c r="R52" s="47"/>
    </row>
    <row r="53" spans="1:18">
      <c r="A53" s="310" t="s">
        <v>47</v>
      </c>
      <c r="B53" s="311"/>
      <c r="C53" s="48" t="s">
        <v>11</v>
      </c>
      <c r="D53" s="52">
        <v>6.3E-2</v>
      </c>
      <c r="E53" s="52">
        <v>6.6075999999999997</v>
      </c>
      <c r="F53" s="181">
        <f t="shared" si="0"/>
        <v>6.6705999999999994</v>
      </c>
      <c r="G53" s="77">
        <v>420.23169999999999</v>
      </c>
      <c r="H53" s="77">
        <v>1278.1198999999999</v>
      </c>
      <c r="I53" s="174"/>
      <c r="J53" s="181">
        <f t="shared" si="1"/>
        <v>1278.1198999999999</v>
      </c>
      <c r="K53" s="77">
        <v>187.39099999999999</v>
      </c>
      <c r="L53" s="33">
        <v>938.27369999999996</v>
      </c>
      <c r="M53" s="33"/>
      <c r="N53" s="33">
        <v>104.6157</v>
      </c>
      <c r="O53" s="33">
        <v>0.36359999999999998</v>
      </c>
      <c r="P53" s="33">
        <v>5.8500000000000003E-2</v>
      </c>
      <c r="Q53" s="175">
        <f t="shared" si="2"/>
        <v>2935.7246999999998</v>
      </c>
      <c r="R53" s="47"/>
    </row>
    <row r="54" spans="1:18">
      <c r="A54" s="312"/>
      <c r="B54" s="313"/>
      <c r="C54" s="177" t="s">
        <v>13</v>
      </c>
      <c r="D54" s="53">
        <v>7.4152799584129543</v>
      </c>
      <c r="E54" s="53">
        <v>2770.8620000000001</v>
      </c>
      <c r="F54" s="178">
        <f t="shared" si="0"/>
        <v>2778.2772799584131</v>
      </c>
      <c r="G54" s="78">
        <v>177943.60500000001</v>
      </c>
      <c r="H54" s="78">
        <v>589443.94499999995</v>
      </c>
      <c r="I54" s="179"/>
      <c r="J54" s="178">
        <f t="shared" si="1"/>
        <v>589443.94499999995</v>
      </c>
      <c r="K54" s="78">
        <v>88505.474000000002</v>
      </c>
      <c r="L54" s="54">
        <v>431505.82799999998</v>
      </c>
      <c r="M54" s="54"/>
      <c r="N54" s="54">
        <v>44348.072</v>
      </c>
      <c r="O54" s="54">
        <v>48.728999999999999</v>
      </c>
      <c r="P54" s="54">
        <f>4.601*1.08</f>
        <v>4.9690799999999999</v>
      </c>
      <c r="Q54" s="180">
        <f t="shared" si="2"/>
        <v>1334578.8993599585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0.72509999999999997</v>
      </c>
      <c r="E55" s="52"/>
      <c r="F55" s="181">
        <f t="shared" si="0"/>
        <v>0.72509999999999997</v>
      </c>
      <c r="G55" s="77">
        <v>1.2999999999999999E-2</v>
      </c>
      <c r="H55" s="77">
        <v>19.847000000000001</v>
      </c>
      <c r="I55" s="174"/>
      <c r="J55" s="181">
        <f t="shared" si="1"/>
        <v>19.847000000000001</v>
      </c>
      <c r="K55" s="77">
        <v>0.9859</v>
      </c>
      <c r="L55" s="33">
        <v>6.8099999999999994E-2</v>
      </c>
      <c r="M55" s="33"/>
      <c r="N55" s="33">
        <v>0.1321</v>
      </c>
      <c r="O55" s="33">
        <v>2.8199999999999999E-2</v>
      </c>
      <c r="P55" s="33">
        <v>0.69410000000000005</v>
      </c>
      <c r="Q55" s="175">
        <f t="shared" si="2"/>
        <v>22.493500000000001</v>
      </c>
      <c r="R55" s="47"/>
    </row>
    <row r="56" spans="1:18">
      <c r="A56" s="176" t="s">
        <v>36</v>
      </c>
      <c r="B56" s="307"/>
      <c r="C56" s="177" t="s">
        <v>13</v>
      </c>
      <c r="D56" s="53">
        <v>640.90331640562795</v>
      </c>
      <c r="E56" s="53"/>
      <c r="F56" s="178">
        <f t="shared" si="0"/>
        <v>640.90331640562795</v>
      </c>
      <c r="G56" s="78">
        <v>47.363999999999997</v>
      </c>
      <c r="H56" s="78">
        <v>10366.463</v>
      </c>
      <c r="I56" s="179"/>
      <c r="J56" s="178">
        <f t="shared" si="1"/>
        <v>10366.463</v>
      </c>
      <c r="K56" s="78">
        <v>544.76499999999999</v>
      </c>
      <c r="L56" s="54">
        <v>77.409000000000006</v>
      </c>
      <c r="M56" s="54"/>
      <c r="N56" s="54">
        <v>96.843999999999994</v>
      </c>
      <c r="O56" s="54">
        <v>33.284999999999997</v>
      </c>
      <c r="P56" s="54">
        <f>568.96*1.08</f>
        <v>614.47680000000003</v>
      </c>
      <c r="Q56" s="180">
        <f t="shared" si="2"/>
        <v>12421.510116405627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7.6356000000000002</v>
      </c>
      <c r="E57" s="52">
        <v>0.46150000000000002</v>
      </c>
      <c r="F57" s="181">
        <f t="shared" si="0"/>
        <v>8.0971000000000011</v>
      </c>
      <c r="G57" s="77">
        <v>0.18479999999999999</v>
      </c>
      <c r="H57" s="77">
        <v>0.1426</v>
      </c>
      <c r="I57" s="174"/>
      <c r="J57" s="181">
        <f t="shared" si="1"/>
        <v>0.1426</v>
      </c>
      <c r="K57" s="77">
        <v>59.724299999999999</v>
      </c>
      <c r="L57" s="33">
        <v>0.92169999999999996</v>
      </c>
      <c r="M57" s="33"/>
      <c r="N57" s="33">
        <v>1.24E-2</v>
      </c>
      <c r="O57" s="33">
        <v>3.2000000000000002E-3</v>
      </c>
      <c r="P57" s="33">
        <v>0.8105</v>
      </c>
      <c r="Q57" s="175">
        <f t="shared" si="2"/>
        <v>69.896600000000007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940.8776347232847</v>
      </c>
      <c r="E58" s="53">
        <v>152.47300000000001</v>
      </c>
      <c r="F58" s="178">
        <f t="shared" si="0"/>
        <v>1093.3506347232847</v>
      </c>
      <c r="G58" s="78">
        <v>65.608999999999995</v>
      </c>
      <c r="H58" s="78">
        <v>26.736999999999998</v>
      </c>
      <c r="I58" s="179"/>
      <c r="J58" s="178">
        <f t="shared" si="1"/>
        <v>26.736999999999998</v>
      </c>
      <c r="K58" s="78">
        <v>2805.0830000000001</v>
      </c>
      <c r="L58" s="54">
        <v>138.18199999999999</v>
      </c>
      <c r="M58" s="54"/>
      <c r="N58" s="54">
        <v>8.2680000000000007</v>
      </c>
      <c r="O58" s="54">
        <v>5.7240000000000002</v>
      </c>
      <c r="P58" s="54">
        <f>307.38*1.08</f>
        <v>331.97040000000004</v>
      </c>
      <c r="Q58" s="180">
        <f t="shared" si="2"/>
        <v>4474.9240347232853</v>
      </c>
      <c r="R58" s="47"/>
    </row>
    <row r="59" spans="1:18">
      <c r="A59" s="27"/>
      <c r="B59" s="308" t="s">
        <v>19</v>
      </c>
      <c r="C59" s="48" t="s">
        <v>11</v>
      </c>
      <c r="D59" s="33">
        <f t="shared" ref="D59:E60" si="16">+D55+D57</f>
        <v>8.3606999999999996</v>
      </c>
      <c r="E59" s="33">
        <f t="shared" si="16"/>
        <v>0.46150000000000002</v>
      </c>
      <c r="F59" s="181">
        <f t="shared" si="0"/>
        <v>8.8221999999999987</v>
      </c>
      <c r="G59" s="49">
        <f t="shared" ref="G59:H60" si="17">+G55+G57</f>
        <v>0.1978</v>
      </c>
      <c r="H59" s="49">
        <f t="shared" si="17"/>
        <v>19.989600000000003</v>
      </c>
      <c r="I59" s="50"/>
      <c r="J59" s="181">
        <f t="shared" si="1"/>
        <v>19.989600000000003</v>
      </c>
      <c r="K59" s="49">
        <f t="shared" ref="K59:L60" si="18">+K55+K57</f>
        <v>60.7102</v>
      </c>
      <c r="L59" s="33">
        <f t="shared" si="18"/>
        <v>0.98980000000000001</v>
      </c>
      <c r="M59" s="33"/>
      <c r="N59" s="33">
        <f t="shared" ref="N59:P60" si="19">+N55+N57</f>
        <v>0.14449999999999999</v>
      </c>
      <c r="O59" s="33">
        <f t="shared" si="19"/>
        <v>3.1399999999999997E-2</v>
      </c>
      <c r="P59" s="33">
        <f t="shared" si="19"/>
        <v>1.5045999999999999</v>
      </c>
      <c r="Q59" s="175">
        <f t="shared" si="2"/>
        <v>92.390100000000004</v>
      </c>
      <c r="R59" s="47"/>
    </row>
    <row r="60" spans="1:18">
      <c r="A60" s="183"/>
      <c r="B60" s="309"/>
      <c r="C60" s="177" t="s">
        <v>13</v>
      </c>
      <c r="D60" s="54">
        <f t="shared" si="16"/>
        <v>1581.7809511289126</v>
      </c>
      <c r="E60" s="54">
        <f t="shared" si="16"/>
        <v>152.47300000000001</v>
      </c>
      <c r="F60" s="178">
        <f t="shared" si="0"/>
        <v>1734.2539511289126</v>
      </c>
      <c r="G60" s="68">
        <f t="shared" si="17"/>
        <v>112.97299999999998</v>
      </c>
      <c r="H60" s="68">
        <f t="shared" si="17"/>
        <v>10393.199999999999</v>
      </c>
      <c r="I60" s="63"/>
      <c r="J60" s="178">
        <f t="shared" si="1"/>
        <v>10393.199999999999</v>
      </c>
      <c r="K60" s="68">
        <f t="shared" si="18"/>
        <v>3349.848</v>
      </c>
      <c r="L60" s="54">
        <f t="shared" si="18"/>
        <v>215.59100000000001</v>
      </c>
      <c r="M60" s="54"/>
      <c r="N60" s="54">
        <f t="shared" si="19"/>
        <v>105.11199999999999</v>
      </c>
      <c r="O60" s="54">
        <f t="shared" si="19"/>
        <v>39.009</v>
      </c>
      <c r="P60" s="54">
        <f t="shared" si="19"/>
        <v>946.44720000000007</v>
      </c>
      <c r="Q60" s="180">
        <f t="shared" si="2"/>
        <v>16896.434151128909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0.28370000000000001</v>
      </c>
      <c r="E61" s="52"/>
      <c r="F61" s="181">
        <f t="shared" si="0"/>
        <v>0.28370000000000001</v>
      </c>
      <c r="G61" s="77">
        <v>0.36880000000000002</v>
      </c>
      <c r="H61" s="77">
        <v>2.8054000000000001</v>
      </c>
      <c r="I61" s="174"/>
      <c r="J61" s="181">
        <f t="shared" si="1"/>
        <v>2.8054000000000001</v>
      </c>
      <c r="K61" s="77"/>
      <c r="L61" s="33">
        <v>1.7991999999999999</v>
      </c>
      <c r="M61" s="33"/>
      <c r="N61" s="33"/>
      <c r="O61" s="33"/>
      <c r="P61" s="33"/>
      <c r="Q61" s="175">
        <f t="shared" si="2"/>
        <v>5.2571000000000003</v>
      </c>
      <c r="R61" s="47"/>
    </row>
    <row r="62" spans="1:18">
      <c r="A62" s="176" t="s">
        <v>51</v>
      </c>
      <c r="B62" s="307"/>
      <c r="C62" s="177" t="s">
        <v>13</v>
      </c>
      <c r="D62" s="53">
        <v>24.585119862119502</v>
      </c>
      <c r="E62" s="53"/>
      <c r="F62" s="178">
        <f t="shared" si="0"/>
        <v>24.585119862119502</v>
      </c>
      <c r="G62" s="78">
        <v>9.4130000000000003</v>
      </c>
      <c r="H62" s="78">
        <v>152.15799999999999</v>
      </c>
      <c r="I62" s="179"/>
      <c r="J62" s="178">
        <f t="shared" si="1"/>
        <v>152.15799999999999</v>
      </c>
      <c r="K62" s="78"/>
      <c r="L62" s="54">
        <v>64.131</v>
      </c>
      <c r="M62" s="54"/>
      <c r="N62" s="54"/>
      <c r="O62" s="54"/>
      <c r="P62" s="54"/>
      <c r="Q62" s="180">
        <f t="shared" si="2"/>
        <v>250.28711986211948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42.305</v>
      </c>
      <c r="E63" s="52">
        <v>47.17</v>
      </c>
      <c r="F63" s="181">
        <f t="shared" si="0"/>
        <v>89.474999999999994</v>
      </c>
      <c r="G63" s="77">
        <v>697.94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787.41500000000008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3688.5023793138071</v>
      </c>
      <c r="E64" s="53">
        <v>4015.5479999999998</v>
      </c>
      <c r="F64" s="178">
        <f t="shared" si="0"/>
        <v>7704.0503793138068</v>
      </c>
      <c r="G64" s="78">
        <v>63295.142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70999.192379313812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275.36900000000003</v>
      </c>
      <c r="H65" s="77"/>
      <c r="I65" s="174"/>
      <c r="J65" s="181">
        <f t="shared" si="1"/>
        <v>0</v>
      </c>
      <c r="K65" s="77"/>
      <c r="L65" s="33"/>
      <c r="M65" s="33"/>
      <c r="N65" s="33"/>
      <c r="O65" s="33"/>
      <c r="P65" s="33"/>
      <c r="Q65" s="175">
        <f t="shared" si="2"/>
        <v>275.36900000000003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30583.424999999999</v>
      </c>
      <c r="H66" s="78"/>
      <c r="I66" s="179"/>
      <c r="J66" s="178">
        <f t="shared" si="1"/>
        <v>0</v>
      </c>
      <c r="K66" s="78"/>
      <c r="L66" s="54"/>
      <c r="M66" s="54"/>
      <c r="N66" s="54"/>
      <c r="O66" s="54"/>
      <c r="P66" s="54"/>
      <c r="Q66" s="180">
        <f t="shared" si="2"/>
        <v>30583.424999999999</v>
      </c>
      <c r="R66" s="47"/>
    </row>
    <row r="67" spans="1:18">
      <c r="A67" s="27"/>
      <c r="B67" s="46" t="s">
        <v>15</v>
      </c>
      <c r="C67" s="48" t="s">
        <v>11</v>
      </c>
      <c r="D67" s="52">
        <v>1.4830000000000001</v>
      </c>
      <c r="E67" s="52">
        <v>0.14599999999999999</v>
      </c>
      <c r="F67" s="181">
        <f t="shared" si="0"/>
        <v>1.629</v>
      </c>
      <c r="G67" s="77">
        <v>101.71429999999999</v>
      </c>
      <c r="H67" s="77"/>
      <c r="I67" s="174"/>
      <c r="J67" s="181">
        <f t="shared" si="1"/>
        <v>0</v>
      </c>
      <c r="K67" s="77">
        <v>1.4E-2</v>
      </c>
      <c r="L67" s="33">
        <v>6.3E-2</v>
      </c>
      <c r="M67" s="33"/>
      <c r="N67" s="33"/>
      <c r="O67" s="33"/>
      <c r="P67" s="33"/>
      <c r="Q67" s="175">
        <f t="shared" si="2"/>
        <v>103.4203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103.19399942125806</v>
      </c>
      <c r="E68" s="56">
        <v>7.3120000000000003</v>
      </c>
      <c r="F68" s="185">
        <f t="shared" si="0"/>
        <v>110.50599942125805</v>
      </c>
      <c r="G68" s="104">
        <v>12884.159</v>
      </c>
      <c r="H68" s="104"/>
      <c r="I68" s="186"/>
      <c r="J68" s="185">
        <f t="shared" si="1"/>
        <v>0</v>
      </c>
      <c r="K68" s="104">
        <v>0.621</v>
      </c>
      <c r="L68" s="37">
        <v>1.9490000000000001</v>
      </c>
      <c r="M68" s="37"/>
      <c r="N68" s="37"/>
      <c r="O68" s="37"/>
      <c r="P68" s="37"/>
      <c r="Q68" s="187">
        <f t="shared" si="2"/>
        <v>12997.234999421258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111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f t="shared" ref="D76:E77" si="20">+D61+D63+D65+D67</f>
        <v>44.0717</v>
      </c>
      <c r="E76" s="33">
        <f t="shared" si="20"/>
        <v>47.316000000000003</v>
      </c>
      <c r="F76" s="191">
        <f t="shared" ref="F76:F133" si="21">SUM(D76:E76)</f>
        <v>91.387699999999995</v>
      </c>
      <c r="G76" s="49">
        <f t="shared" ref="G76:H77" si="22">+G61+G63+G65+G67</f>
        <v>1075.3921</v>
      </c>
      <c r="H76" s="49">
        <f t="shared" si="22"/>
        <v>2.8054000000000001</v>
      </c>
      <c r="I76" s="50"/>
      <c r="J76" s="191">
        <f t="shared" ref="J76:J133" si="23">SUM(H76:I76)</f>
        <v>2.8054000000000001</v>
      </c>
      <c r="K76" s="49">
        <f t="shared" ref="K76:L77" si="24">+K61+K63+K65+K67</f>
        <v>1.4E-2</v>
      </c>
      <c r="L76" s="33">
        <f t="shared" si="24"/>
        <v>1.8621999999999999</v>
      </c>
      <c r="M76" s="33"/>
      <c r="N76" s="33"/>
      <c r="O76" s="33"/>
      <c r="P76" s="33"/>
      <c r="Q76" s="175">
        <f t="shared" ref="Q76:Q140" si="25">SUM(F76:G76,J76:P76)</f>
        <v>1171.4613999999999</v>
      </c>
      <c r="R76" s="27"/>
    </row>
    <row r="77" spans="1:18">
      <c r="A77" s="166" t="s">
        <v>53</v>
      </c>
      <c r="B77" s="309"/>
      <c r="C77" s="192" t="s">
        <v>13</v>
      </c>
      <c r="D77" s="59">
        <f t="shared" si="20"/>
        <v>3816.2814985971845</v>
      </c>
      <c r="E77" s="59">
        <f t="shared" si="20"/>
        <v>4022.8599999999997</v>
      </c>
      <c r="F77" s="193">
        <f t="shared" si="21"/>
        <v>7839.1414985971842</v>
      </c>
      <c r="G77" s="59">
        <f t="shared" si="22"/>
        <v>106772.139</v>
      </c>
      <c r="H77" s="59">
        <f t="shared" si="22"/>
        <v>152.15799999999999</v>
      </c>
      <c r="I77" s="63"/>
      <c r="J77" s="193">
        <f t="shared" si="23"/>
        <v>152.15799999999999</v>
      </c>
      <c r="K77" s="59">
        <f t="shared" si="24"/>
        <v>0.621</v>
      </c>
      <c r="L77" s="30">
        <f t="shared" si="24"/>
        <v>66.08</v>
      </c>
      <c r="M77" s="54"/>
      <c r="N77" s="54"/>
      <c r="O77" s="59"/>
      <c r="P77" s="30"/>
      <c r="Q77" s="180">
        <f t="shared" si="25"/>
        <v>114830.13949859717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4.6896000000000004</v>
      </c>
      <c r="E78" s="52">
        <v>5.3178999999999998</v>
      </c>
      <c r="F78" s="191">
        <f t="shared" si="21"/>
        <v>10.0075</v>
      </c>
      <c r="G78" s="77">
        <v>3.4554</v>
      </c>
      <c r="H78" s="77">
        <v>98.327200000000005</v>
      </c>
      <c r="I78" s="174"/>
      <c r="J78" s="191">
        <f t="shared" si="23"/>
        <v>98.327200000000005</v>
      </c>
      <c r="K78" s="77">
        <v>1.4654</v>
      </c>
      <c r="L78" s="55">
        <v>3.6303000000000001</v>
      </c>
      <c r="M78" s="33">
        <v>0.3624</v>
      </c>
      <c r="N78" s="33">
        <v>10.241</v>
      </c>
      <c r="O78" s="33">
        <v>0.38550000000000001</v>
      </c>
      <c r="P78" s="55">
        <v>5.9693300000000002</v>
      </c>
      <c r="Q78" s="175">
        <f t="shared" si="25"/>
        <v>133.84403</v>
      </c>
      <c r="R78" s="27"/>
    </row>
    <row r="79" spans="1:18">
      <c r="A79" s="176" t="s">
        <v>31</v>
      </c>
      <c r="B79" s="307"/>
      <c r="C79" s="192" t="s">
        <v>13</v>
      </c>
      <c r="D79" s="53">
        <v>9539.0643065021559</v>
      </c>
      <c r="E79" s="53">
        <v>8944.5229999999992</v>
      </c>
      <c r="F79" s="193">
        <f t="shared" si="21"/>
        <v>18483.587306502155</v>
      </c>
      <c r="G79" s="78">
        <v>6764.8869999999997</v>
      </c>
      <c r="H79" s="78">
        <v>46800.37</v>
      </c>
      <c r="I79" s="179"/>
      <c r="J79" s="193">
        <f t="shared" si="23"/>
        <v>46800.37</v>
      </c>
      <c r="K79" s="78">
        <v>1676.877</v>
      </c>
      <c r="L79" s="54">
        <v>5733.1629999999996</v>
      </c>
      <c r="M79" s="54">
        <f>165.888*1.08</f>
        <v>179.15904</v>
      </c>
      <c r="N79" s="54">
        <v>17613.433000000001</v>
      </c>
      <c r="O79" s="54">
        <v>558.07899999999995</v>
      </c>
      <c r="P79" s="54">
        <f>8740.165*1.08</f>
        <v>9439.378200000001</v>
      </c>
      <c r="Q79" s="180">
        <f t="shared" si="25"/>
        <v>107248.93354650216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21"/>
        <v>0</v>
      </c>
      <c r="G80" s="77"/>
      <c r="H80" s="77">
        <v>0.66359999999999997</v>
      </c>
      <c r="I80" s="174"/>
      <c r="J80" s="191">
        <f t="shared" si="23"/>
        <v>0.66359999999999997</v>
      </c>
      <c r="K80" s="77"/>
      <c r="L80" s="33"/>
      <c r="M80" s="33"/>
      <c r="N80" s="33"/>
      <c r="O80" s="33"/>
      <c r="P80" s="33"/>
      <c r="Q80" s="175">
        <f t="shared" si="25"/>
        <v>0.66359999999999997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21"/>
        <v>0</v>
      </c>
      <c r="G81" s="78"/>
      <c r="H81" s="78">
        <v>75.212999999999994</v>
      </c>
      <c r="I81" s="179"/>
      <c r="J81" s="193">
        <f t="shared" si="23"/>
        <v>75.212999999999994</v>
      </c>
      <c r="K81" s="78"/>
      <c r="L81" s="54"/>
      <c r="M81" s="54"/>
      <c r="N81" s="54"/>
      <c r="O81" s="54"/>
      <c r="P81" s="54"/>
      <c r="Q81" s="180">
        <f t="shared" si="25"/>
        <v>75.212999999999994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1"/>
        <v>0</v>
      </c>
      <c r="G82" s="77"/>
      <c r="H82" s="77">
        <v>1.1999999999999999E-3</v>
      </c>
      <c r="I82" s="174"/>
      <c r="J82" s="191">
        <f t="shared" si="23"/>
        <v>1.1999999999999999E-3</v>
      </c>
      <c r="K82" s="77">
        <v>20.622</v>
      </c>
      <c r="L82" s="33"/>
      <c r="M82" s="33"/>
      <c r="N82" s="33"/>
      <c r="O82" s="33"/>
      <c r="P82" s="33"/>
      <c r="Q82" s="175">
        <f t="shared" si="25"/>
        <v>20.623200000000001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1"/>
        <v>0</v>
      </c>
      <c r="G83" s="78"/>
      <c r="H83" s="78">
        <v>0.13</v>
      </c>
      <c r="I83" s="179"/>
      <c r="J83" s="193">
        <f t="shared" si="23"/>
        <v>0.13</v>
      </c>
      <c r="K83" s="78">
        <v>18818.397000000001</v>
      </c>
      <c r="L83" s="54"/>
      <c r="M83" s="54"/>
      <c r="N83" s="54"/>
      <c r="O83" s="54"/>
      <c r="P83" s="54"/>
      <c r="Q83" s="180">
        <f t="shared" si="25"/>
        <v>18818.527000000002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1"/>
        <v>0</v>
      </c>
      <c r="G84" s="77"/>
      <c r="H84" s="77"/>
      <c r="I84" s="174"/>
      <c r="J84" s="191">
        <f t="shared" si="23"/>
        <v>0</v>
      </c>
      <c r="K84" s="77"/>
      <c r="L84" s="33"/>
      <c r="M84" s="33"/>
      <c r="N84" s="33"/>
      <c r="O84" s="33"/>
      <c r="P84" s="33"/>
      <c r="Q84" s="175">
        <f t="shared" si="2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1"/>
        <v>0</v>
      </c>
      <c r="G85" s="78"/>
      <c r="H85" s="78"/>
      <c r="I85" s="179"/>
      <c r="J85" s="193">
        <f t="shared" si="23"/>
        <v>0</v>
      </c>
      <c r="K85" s="78"/>
      <c r="L85" s="54"/>
      <c r="M85" s="54"/>
      <c r="N85" s="54"/>
      <c r="O85" s="54"/>
      <c r="P85" s="54"/>
      <c r="Q85" s="180">
        <f t="shared" si="2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1.702</v>
      </c>
      <c r="E86" s="52">
        <v>3.6766999999999999</v>
      </c>
      <c r="F86" s="191">
        <f t="shared" si="21"/>
        <v>5.3787000000000003</v>
      </c>
      <c r="G86" s="77">
        <v>0.83289999999999997</v>
      </c>
      <c r="H86" s="77">
        <v>160.31399999999999</v>
      </c>
      <c r="I86" s="174"/>
      <c r="J86" s="191">
        <f t="shared" si="23"/>
        <v>160.31399999999999</v>
      </c>
      <c r="K86" s="77">
        <v>1.1488</v>
      </c>
      <c r="L86" s="33">
        <v>1.6425000000000001</v>
      </c>
      <c r="M86" s="33"/>
      <c r="N86" s="33">
        <v>8.1928000000000001</v>
      </c>
      <c r="O86" s="33">
        <v>0.1938</v>
      </c>
      <c r="P86" s="33">
        <v>0.65949999999999998</v>
      </c>
      <c r="Q86" s="175">
        <f t="shared" si="25"/>
        <v>178.36300000000003</v>
      </c>
      <c r="R86" s="27"/>
    </row>
    <row r="87" spans="1:18">
      <c r="A87" s="176"/>
      <c r="B87" s="177" t="s">
        <v>63</v>
      </c>
      <c r="C87" s="192" t="s">
        <v>13</v>
      </c>
      <c r="D87" s="53">
        <v>1709.6831904115998</v>
      </c>
      <c r="E87" s="53">
        <v>2720.2260000000001</v>
      </c>
      <c r="F87" s="193">
        <f t="shared" si="21"/>
        <v>4429.9091904115994</v>
      </c>
      <c r="G87" s="78">
        <v>1266.213</v>
      </c>
      <c r="H87" s="78">
        <v>71818.504000000001</v>
      </c>
      <c r="I87" s="179"/>
      <c r="J87" s="193">
        <f t="shared" si="23"/>
        <v>71818.504000000001</v>
      </c>
      <c r="K87" s="156">
        <v>804.29600000000005</v>
      </c>
      <c r="L87" s="54">
        <v>1207.922</v>
      </c>
      <c r="M87" s="54"/>
      <c r="N87" s="54">
        <v>4491.8280000000004</v>
      </c>
      <c r="O87" s="54">
        <v>211.905</v>
      </c>
      <c r="P87" s="54">
        <f>893.2*1.08</f>
        <v>964.65600000000006</v>
      </c>
      <c r="Q87" s="180">
        <f t="shared" si="25"/>
        <v>85195.2331904116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f t="shared" ref="D88:E89" si="26">+D78+D80+D82+D84+D86</f>
        <v>6.3916000000000004</v>
      </c>
      <c r="E88" s="33">
        <f t="shared" si="26"/>
        <v>8.9946000000000002</v>
      </c>
      <c r="F88" s="191">
        <f t="shared" si="21"/>
        <v>15.386200000000001</v>
      </c>
      <c r="G88" s="49">
        <f t="shared" ref="G88:H89" si="27">+G78+G80+G82+G84+G86</f>
        <v>4.2882999999999996</v>
      </c>
      <c r="H88" s="49">
        <f t="shared" si="27"/>
        <v>259.30599999999998</v>
      </c>
      <c r="I88" s="50"/>
      <c r="J88" s="191">
        <f t="shared" si="23"/>
        <v>259.30599999999998</v>
      </c>
      <c r="K88" s="49">
        <f t="shared" ref="K88:P89" si="28">+K78+K80+K82+K84+K86</f>
        <v>23.2362</v>
      </c>
      <c r="L88" s="33">
        <f t="shared" si="28"/>
        <v>5.2728000000000002</v>
      </c>
      <c r="M88" s="33">
        <f t="shared" si="28"/>
        <v>0.3624</v>
      </c>
      <c r="N88" s="33">
        <f t="shared" si="28"/>
        <v>18.433799999999998</v>
      </c>
      <c r="O88" s="33">
        <f t="shared" si="28"/>
        <v>0.57930000000000004</v>
      </c>
      <c r="P88" s="33">
        <f t="shared" si="28"/>
        <v>6.6288300000000007</v>
      </c>
      <c r="Q88" s="175">
        <f t="shared" si="25"/>
        <v>333.49383</v>
      </c>
      <c r="R88" s="27"/>
    </row>
    <row r="89" spans="1:18">
      <c r="A89" s="183"/>
      <c r="B89" s="309"/>
      <c r="C89" s="192" t="s">
        <v>13</v>
      </c>
      <c r="D89" s="54">
        <f t="shared" si="26"/>
        <v>11248.747496913755</v>
      </c>
      <c r="E89" s="54">
        <f t="shared" si="26"/>
        <v>11664.749</v>
      </c>
      <c r="F89" s="193">
        <f t="shared" si="21"/>
        <v>22913.496496913755</v>
      </c>
      <c r="G89" s="68">
        <f t="shared" si="27"/>
        <v>8031.0999999999995</v>
      </c>
      <c r="H89" s="68">
        <f t="shared" si="27"/>
        <v>118694.217</v>
      </c>
      <c r="I89" s="63"/>
      <c r="J89" s="193">
        <f t="shared" si="23"/>
        <v>118694.217</v>
      </c>
      <c r="K89" s="68">
        <f t="shared" si="28"/>
        <v>21299.57</v>
      </c>
      <c r="L89" s="54">
        <f t="shared" si="28"/>
        <v>6941.0849999999991</v>
      </c>
      <c r="M89" s="54">
        <f t="shared" si="28"/>
        <v>179.15904</v>
      </c>
      <c r="N89" s="54">
        <f t="shared" si="28"/>
        <v>22105.261000000002</v>
      </c>
      <c r="O89" s="54">
        <f t="shared" si="28"/>
        <v>769.98399999999992</v>
      </c>
      <c r="P89" s="54">
        <f t="shared" si="28"/>
        <v>10404.034200000002</v>
      </c>
      <c r="Q89" s="180">
        <f t="shared" si="25"/>
        <v>211337.90673691375</v>
      </c>
      <c r="R89" s="27"/>
    </row>
    <row r="90" spans="1:18">
      <c r="A90" s="310" t="s">
        <v>64</v>
      </c>
      <c r="B90" s="311"/>
      <c r="C90" s="32" t="s">
        <v>11</v>
      </c>
      <c r="D90" s="52">
        <v>0.28670000000000001</v>
      </c>
      <c r="E90" s="52">
        <v>1.8</v>
      </c>
      <c r="F90" s="191">
        <f t="shared" si="21"/>
        <v>2.0867</v>
      </c>
      <c r="G90" s="77">
        <v>6.5696000000000003</v>
      </c>
      <c r="H90" s="77">
        <v>24.7456</v>
      </c>
      <c r="I90" s="174"/>
      <c r="J90" s="191">
        <f t="shared" si="23"/>
        <v>24.7456</v>
      </c>
      <c r="K90" s="77">
        <v>3.7522000000000002</v>
      </c>
      <c r="L90" s="33">
        <v>3.5573999999999999</v>
      </c>
      <c r="M90" s="33"/>
      <c r="N90" s="33">
        <v>0.1173</v>
      </c>
      <c r="O90" s="33">
        <v>3.3399999999999999E-2</v>
      </c>
      <c r="P90" s="33">
        <v>1.1081000000000001</v>
      </c>
      <c r="Q90" s="175">
        <f t="shared" si="25"/>
        <v>41.970300000000002</v>
      </c>
      <c r="R90" s="27"/>
    </row>
    <row r="91" spans="1:18">
      <c r="A91" s="312"/>
      <c r="B91" s="313"/>
      <c r="C91" s="192" t="s">
        <v>13</v>
      </c>
      <c r="D91" s="53">
        <v>328.02299816035173</v>
      </c>
      <c r="E91" s="53">
        <v>1863.479</v>
      </c>
      <c r="F91" s="193">
        <f t="shared" si="21"/>
        <v>2191.5019981603518</v>
      </c>
      <c r="G91" s="78">
        <v>7530.8879999999999</v>
      </c>
      <c r="H91" s="78">
        <v>19628.416000000001</v>
      </c>
      <c r="I91" s="179"/>
      <c r="J91" s="193">
        <f t="shared" si="23"/>
        <v>19628.416000000001</v>
      </c>
      <c r="K91" s="78">
        <v>3077.3739999999998</v>
      </c>
      <c r="L91" s="54">
        <v>4220.2569999999996</v>
      </c>
      <c r="M91" s="54"/>
      <c r="N91" s="54">
        <v>126.857</v>
      </c>
      <c r="O91" s="54">
        <v>24.646000000000001</v>
      </c>
      <c r="P91" s="54">
        <f>1006.15*1.08</f>
        <v>1086.6420000000001</v>
      </c>
      <c r="Q91" s="180">
        <f t="shared" si="25"/>
        <v>37886.581998160356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21"/>
        <v>0</v>
      </c>
      <c r="G92" s="77"/>
      <c r="H92" s="77"/>
      <c r="I92" s="174"/>
      <c r="J92" s="191">
        <f t="shared" si="23"/>
        <v>0</v>
      </c>
      <c r="K92" s="77">
        <v>97.95</v>
      </c>
      <c r="L92" s="33">
        <v>0.1</v>
      </c>
      <c r="M92" s="33"/>
      <c r="N92" s="33"/>
      <c r="O92" s="33"/>
      <c r="P92" s="33"/>
      <c r="Q92" s="175">
        <f t="shared" si="25"/>
        <v>98.05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21"/>
        <v>0</v>
      </c>
      <c r="G93" s="78"/>
      <c r="H93" s="78"/>
      <c r="I93" s="179"/>
      <c r="J93" s="193">
        <f t="shared" si="23"/>
        <v>0</v>
      </c>
      <c r="K93" s="78">
        <v>4707.4769999999999</v>
      </c>
      <c r="L93" s="54">
        <v>32.4</v>
      </c>
      <c r="M93" s="54"/>
      <c r="N93" s="54"/>
      <c r="O93" s="54"/>
      <c r="P93" s="54"/>
      <c r="Q93" s="180">
        <f t="shared" si="25"/>
        <v>4739.8769999999995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21"/>
        <v>0</v>
      </c>
      <c r="G94" s="77">
        <v>0</v>
      </c>
      <c r="H94" s="77">
        <v>7.1999999999999998E-3</v>
      </c>
      <c r="I94" s="174"/>
      <c r="J94" s="191">
        <f t="shared" si="23"/>
        <v>7.1999999999999998E-3</v>
      </c>
      <c r="K94" s="77"/>
      <c r="L94" s="33"/>
      <c r="M94" s="33"/>
      <c r="N94" s="33"/>
      <c r="O94" s="33"/>
      <c r="P94" s="33"/>
      <c r="Q94" s="175">
        <f t="shared" si="25"/>
        <v>7.1999999999999998E-3</v>
      </c>
      <c r="R94" s="27"/>
    </row>
    <row r="95" spans="1:18">
      <c r="A95" s="312"/>
      <c r="B95" s="313"/>
      <c r="C95" s="192" t="s">
        <v>13</v>
      </c>
      <c r="D95" s="53"/>
      <c r="E95" s="53"/>
      <c r="F95" s="193">
        <f t="shared" si="21"/>
        <v>0</v>
      </c>
      <c r="G95" s="78">
        <v>2.7970000000000002</v>
      </c>
      <c r="H95" s="78">
        <v>14.773999999999999</v>
      </c>
      <c r="I95" s="179"/>
      <c r="J95" s="193">
        <f t="shared" si="23"/>
        <v>14.773999999999999</v>
      </c>
      <c r="K95" s="78"/>
      <c r="L95" s="54"/>
      <c r="M95" s="54"/>
      <c r="N95" s="54"/>
      <c r="O95" s="54"/>
      <c r="P95" s="54"/>
      <c r="Q95" s="180">
        <f t="shared" si="25"/>
        <v>17.570999999999998</v>
      </c>
      <c r="R95" s="27"/>
    </row>
    <row r="96" spans="1:18">
      <c r="A96" s="310" t="s">
        <v>67</v>
      </c>
      <c r="B96" s="311"/>
      <c r="C96" s="32" t="s">
        <v>11</v>
      </c>
      <c r="D96" s="52">
        <v>6.6000000000000003E-2</v>
      </c>
      <c r="E96" s="52">
        <v>0.74450000000000005</v>
      </c>
      <c r="F96" s="191">
        <f t="shared" si="21"/>
        <v>0.8105</v>
      </c>
      <c r="G96" s="77"/>
      <c r="H96" s="77">
        <v>6.4493999999999998</v>
      </c>
      <c r="I96" s="174"/>
      <c r="J96" s="191">
        <f t="shared" si="23"/>
        <v>6.4493999999999998</v>
      </c>
      <c r="K96" s="77">
        <v>7.4200000000000002E-2</v>
      </c>
      <c r="L96" s="33"/>
      <c r="M96" s="33"/>
      <c r="N96" s="33"/>
      <c r="O96" s="33"/>
      <c r="P96" s="33"/>
      <c r="Q96" s="175">
        <f t="shared" si="25"/>
        <v>7.3341000000000003</v>
      </c>
      <c r="R96" s="27"/>
    </row>
    <row r="97" spans="1:18">
      <c r="A97" s="312"/>
      <c r="B97" s="313"/>
      <c r="C97" s="192" t="s">
        <v>13</v>
      </c>
      <c r="D97" s="53">
        <v>237.49199866807587</v>
      </c>
      <c r="E97" s="53">
        <v>901.43899999999996</v>
      </c>
      <c r="F97" s="193">
        <f t="shared" si="21"/>
        <v>1138.9309986680757</v>
      </c>
      <c r="G97" s="78"/>
      <c r="H97" s="78">
        <v>11259.519</v>
      </c>
      <c r="I97" s="179"/>
      <c r="J97" s="193">
        <f t="shared" si="23"/>
        <v>11259.519</v>
      </c>
      <c r="K97" s="78">
        <v>49.302</v>
      </c>
      <c r="L97" s="54"/>
      <c r="M97" s="54"/>
      <c r="N97" s="54"/>
      <c r="O97" s="54"/>
      <c r="P97" s="54"/>
      <c r="Q97" s="180">
        <f t="shared" si="25"/>
        <v>12447.751998668076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21"/>
        <v>0</v>
      </c>
      <c r="G98" s="77"/>
      <c r="H98" s="77">
        <v>4.0000000000000002E-4</v>
      </c>
      <c r="I98" s="174"/>
      <c r="J98" s="191">
        <f t="shared" si="23"/>
        <v>4.0000000000000002E-4</v>
      </c>
      <c r="K98" s="77"/>
      <c r="L98" s="33"/>
      <c r="M98" s="33"/>
      <c r="N98" s="33"/>
      <c r="O98" s="33"/>
      <c r="P98" s="33"/>
      <c r="Q98" s="175">
        <f t="shared" si="25"/>
        <v>4.0000000000000002E-4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21"/>
        <v>0</v>
      </c>
      <c r="G99" s="78"/>
      <c r="H99" s="78">
        <v>0.51800000000000002</v>
      </c>
      <c r="I99" s="179"/>
      <c r="J99" s="193">
        <f t="shared" si="23"/>
        <v>0.51800000000000002</v>
      </c>
      <c r="K99" s="78"/>
      <c r="L99" s="54"/>
      <c r="M99" s="54"/>
      <c r="N99" s="54"/>
      <c r="O99" s="54"/>
      <c r="P99" s="54"/>
      <c r="Q99" s="180">
        <f t="shared" si="25"/>
        <v>0.51800000000000002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21"/>
        <v>0</v>
      </c>
      <c r="G100" s="77"/>
      <c r="H100" s="77"/>
      <c r="I100" s="174"/>
      <c r="J100" s="191">
        <f t="shared" si="23"/>
        <v>0</v>
      </c>
      <c r="K100" s="77"/>
      <c r="L100" s="33"/>
      <c r="M100" s="33"/>
      <c r="N100" s="33"/>
      <c r="O100" s="33"/>
      <c r="P100" s="33"/>
      <c r="Q100" s="175">
        <f t="shared" si="25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21"/>
        <v>0</v>
      </c>
      <c r="G101" s="78"/>
      <c r="H101" s="78"/>
      <c r="I101" s="179"/>
      <c r="J101" s="193">
        <f t="shared" si="23"/>
        <v>0</v>
      </c>
      <c r="K101" s="78"/>
      <c r="L101" s="54"/>
      <c r="M101" s="54"/>
      <c r="N101" s="54"/>
      <c r="O101" s="54"/>
      <c r="P101" s="54"/>
      <c r="Q101" s="180">
        <f t="shared" si="2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3.5775999999999999</v>
      </c>
      <c r="E102" s="52">
        <v>654.13689999999997</v>
      </c>
      <c r="F102" s="191">
        <f t="shared" si="21"/>
        <v>657.71449999999993</v>
      </c>
      <c r="G102" s="77">
        <v>26.495899999999999</v>
      </c>
      <c r="H102" s="77">
        <v>267.83390000000003</v>
      </c>
      <c r="I102" s="174"/>
      <c r="J102" s="191">
        <f t="shared" si="23"/>
        <v>267.83390000000003</v>
      </c>
      <c r="K102" s="77">
        <v>13.916</v>
      </c>
      <c r="L102" s="33">
        <v>6.9917999999999996</v>
      </c>
      <c r="M102" s="33">
        <v>0.71379999999999999</v>
      </c>
      <c r="N102" s="33">
        <v>10.018700000000001</v>
      </c>
      <c r="O102" s="33">
        <v>1.7735000000000001</v>
      </c>
      <c r="P102" s="33">
        <v>5.0575999999999999</v>
      </c>
      <c r="Q102" s="175">
        <f t="shared" si="25"/>
        <v>990.51570000000004</v>
      </c>
      <c r="R102" s="27"/>
    </row>
    <row r="103" spans="1:18">
      <c r="A103" s="312"/>
      <c r="B103" s="313"/>
      <c r="C103" s="192" t="s">
        <v>13</v>
      </c>
      <c r="D103" s="53">
        <v>8144.6763143222888</v>
      </c>
      <c r="E103" s="53">
        <v>159620.52600000001</v>
      </c>
      <c r="F103" s="193">
        <f t="shared" si="21"/>
        <v>167765.20231432229</v>
      </c>
      <c r="G103" s="78">
        <v>5410.0619999999999</v>
      </c>
      <c r="H103" s="78">
        <v>57727.474999999999</v>
      </c>
      <c r="I103" s="179"/>
      <c r="J103" s="193">
        <f t="shared" si="23"/>
        <v>57727.474999999999</v>
      </c>
      <c r="K103" s="78">
        <v>7340.951</v>
      </c>
      <c r="L103" s="54">
        <v>3693.8820000000001</v>
      </c>
      <c r="M103" s="54">
        <f>180.921*1.08</f>
        <v>195.39467999999999</v>
      </c>
      <c r="N103" s="54">
        <v>6467.2579999999998</v>
      </c>
      <c r="O103" s="54">
        <v>2010.05</v>
      </c>
      <c r="P103" s="54">
        <f>3819.205*1.08</f>
        <v>4124.7413999999999</v>
      </c>
      <c r="Q103" s="180">
        <f t="shared" si="25"/>
        <v>254735.0163943223</v>
      </c>
      <c r="R103" s="27"/>
    </row>
    <row r="104" spans="1:18">
      <c r="A104" s="314" t="s">
        <v>71</v>
      </c>
      <c r="B104" s="315"/>
      <c r="C104" s="32" t="s">
        <v>11</v>
      </c>
      <c r="D104" s="33">
        <f t="shared" ref="D104:E105" si="29">+D9+D11+D23+D29+D37+D39+D41+D43+D45+D47+D49+D51+D53+D59+D76+D88+D90+D92+D94+D96+D98+D100+D102</f>
        <v>927.55319999999995</v>
      </c>
      <c r="E104" s="33">
        <f t="shared" si="29"/>
        <v>1029.8696</v>
      </c>
      <c r="F104" s="191">
        <f t="shared" si="21"/>
        <v>1957.4227999999998</v>
      </c>
      <c r="G104" s="49">
        <f t="shared" ref="G104:H105" si="30">+G9+G11+G23+G29+G37+G39+G41+G43+G45+G47+G49+G51+G53+G59+G76+G88+G90+G92+G94+G96+G98+G100+G102</f>
        <v>14439.527300000002</v>
      </c>
      <c r="H104" s="49">
        <f t="shared" si="30"/>
        <v>8441.2857000000004</v>
      </c>
      <c r="I104" s="50"/>
      <c r="J104" s="191">
        <f t="shared" si="23"/>
        <v>8441.2857000000004</v>
      </c>
      <c r="K104" s="49">
        <f t="shared" ref="K104:P105" si="31">+K9+K11+K23+K29+K37+K39+K41+K43+K45+K47+K49+K51+K53+K59+K76+K88+K90+K92+K94+K96+K98+K100+K102</f>
        <v>8993.2679999999982</v>
      </c>
      <c r="L104" s="33">
        <f t="shared" si="31"/>
        <v>1018.4350499999999</v>
      </c>
      <c r="M104" s="33">
        <f t="shared" si="31"/>
        <v>1.0762</v>
      </c>
      <c r="N104" s="33">
        <f t="shared" si="31"/>
        <v>138.80949999999999</v>
      </c>
      <c r="O104" s="33">
        <f t="shared" si="31"/>
        <v>2.7873999999999999</v>
      </c>
      <c r="P104" s="33">
        <f t="shared" si="31"/>
        <v>24.94547</v>
      </c>
      <c r="Q104" s="175">
        <f t="shared" si="25"/>
        <v>35017.557420000005</v>
      </c>
      <c r="R104" s="27"/>
    </row>
    <row r="105" spans="1:18">
      <c r="A105" s="316"/>
      <c r="B105" s="317"/>
      <c r="C105" s="192" t="s">
        <v>13</v>
      </c>
      <c r="D105" s="54">
        <f t="shared" si="29"/>
        <v>717930.68825363612</v>
      </c>
      <c r="E105" s="54">
        <f t="shared" si="29"/>
        <v>510551.712</v>
      </c>
      <c r="F105" s="193">
        <f t="shared" si="21"/>
        <v>1228482.4002536361</v>
      </c>
      <c r="G105" s="68">
        <f t="shared" si="30"/>
        <v>2354733.4189999998</v>
      </c>
      <c r="H105" s="68">
        <f t="shared" si="30"/>
        <v>1415478.885</v>
      </c>
      <c r="I105" s="63"/>
      <c r="J105" s="193">
        <f t="shared" si="23"/>
        <v>1415478.885</v>
      </c>
      <c r="K105" s="68">
        <f t="shared" si="31"/>
        <v>1117598.5739999998</v>
      </c>
      <c r="L105" s="54">
        <f t="shared" si="31"/>
        <v>455249.71600000001</v>
      </c>
      <c r="M105" s="54">
        <f t="shared" si="31"/>
        <v>374.55372</v>
      </c>
      <c r="N105" s="54">
        <f t="shared" si="31"/>
        <v>73681.616000000009</v>
      </c>
      <c r="O105" s="54">
        <f t="shared" si="31"/>
        <v>2892.9569999999999</v>
      </c>
      <c r="P105" s="54">
        <f t="shared" si="31"/>
        <v>21304.574640000003</v>
      </c>
      <c r="Q105" s="180">
        <f t="shared" si="25"/>
        <v>6669796.6956136366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21"/>
        <v>0</v>
      </c>
      <c r="G106" s="77"/>
      <c r="H106" s="77">
        <v>0.18609999999999999</v>
      </c>
      <c r="I106" s="174"/>
      <c r="J106" s="191">
        <f t="shared" si="23"/>
        <v>0.18609999999999999</v>
      </c>
      <c r="K106" s="77"/>
      <c r="L106" s="33"/>
      <c r="M106" s="33"/>
      <c r="N106" s="33"/>
      <c r="O106" s="33"/>
      <c r="P106" s="33"/>
      <c r="Q106" s="175">
        <f t="shared" si="25"/>
        <v>0.18609999999999999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21"/>
        <v>0</v>
      </c>
      <c r="G107" s="78"/>
      <c r="H107" s="78">
        <v>168.173</v>
      </c>
      <c r="I107" s="179"/>
      <c r="J107" s="193">
        <f t="shared" si="23"/>
        <v>168.173</v>
      </c>
      <c r="K107" s="78"/>
      <c r="L107" s="54"/>
      <c r="M107" s="54"/>
      <c r="N107" s="54"/>
      <c r="O107" s="54"/>
      <c r="P107" s="54"/>
      <c r="Q107" s="180">
        <f t="shared" si="25"/>
        <v>168.173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2.161</v>
      </c>
      <c r="E108" s="52">
        <v>0.33300000000000002</v>
      </c>
      <c r="F108" s="191">
        <f t="shared" si="21"/>
        <v>2.4940000000000002</v>
      </c>
      <c r="G108" s="77">
        <v>1.6539999999999999</v>
      </c>
      <c r="H108" s="77">
        <v>23.25</v>
      </c>
      <c r="I108" s="174"/>
      <c r="J108" s="191">
        <f t="shared" si="23"/>
        <v>23.25</v>
      </c>
      <c r="K108" s="77">
        <v>1.1127</v>
      </c>
      <c r="L108" s="33">
        <v>1.1304000000000001</v>
      </c>
      <c r="M108" s="33"/>
      <c r="N108" s="33"/>
      <c r="O108" s="33">
        <v>0.25409999999999999</v>
      </c>
      <c r="P108" s="33">
        <v>1.49E-2</v>
      </c>
      <c r="Q108" s="175">
        <f t="shared" si="25"/>
        <v>29.910100000000003</v>
      </c>
      <c r="R108" s="27"/>
    </row>
    <row r="109" spans="1:18">
      <c r="A109" s="176" t="s">
        <v>0</v>
      </c>
      <c r="B109" s="307"/>
      <c r="C109" s="192" t="s">
        <v>13</v>
      </c>
      <c r="D109" s="53">
        <v>1115.1194337460861</v>
      </c>
      <c r="E109" s="53">
        <v>173.113</v>
      </c>
      <c r="F109" s="193">
        <f t="shared" si="21"/>
        <v>1288.2324337460861</v>
      </c>
      <c r="G109" s="78">
        <v>1855.5239999999999</v>
      </c>
      <c r="H109" s="78">
        <v>9247.259</v>
      </c>
      <c r="I109" s="179"/>
      <c r="J109" s="193">
        <f t="shared" si="23"/>
        <v>9247.259</v>
      </c>
      <c r="K109" s="78">
        <v>527.88300000000004</v>
      </c>
      <c r="L109" s="54">
        <v>882.91700000000003</v>
      </c>
      <c r="M109" s="54"/>
      <c r="N109" s="54"/>
      <c r="O109" s="54">
        <v>289.98</v>
      </c>
      <c r="P109" s="54">
        <f>8.26*1.08</f>
        <v>8.9207999999999998</v>
      </c>
      <c r="Q109" s="180">
        <f t="shared" si="25"/>
        <v>14100.716233746085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3.5026999999999999</v>
      </c>
      <c r="E110" s="52">
        <v>307.1071</v>
      </c>
      <c r="F110" s="191">
        <f t="shared" si="21"/>
        <v>310.60980000000001</v>
      </c>
      <c r="G110" s="77">
        <v>20.020700000000001</v>
      </c>
      <c r="H110" s="77">
        <v>1187.4078</v>
      </c>
      <c r="I110" s="174"/>
      <c r="J110" s="191">
        <f t="shared" si="23"/>
        <v>1187.4078</v>
      </c>
      <c r="K110" s="77">
        <v>134.78649999999999</v>
      </c>
      <c r="L110" s="33">
        <v>0.26790000000000003</v>
      </c>
      <c r="M110" s="33"/>
      <c r="N110" s="33"/>
      <c r="O110" s="33"/>
      <c r="P110" s="33"/>
      <c r="Q110" s="175">
        <f t="shared" si="25"/>
        <v>1653.0926999999999</v>
      </c>
      <c r="R110" s="27"/>
    </row>
    <row r="111" spans="1:18">
      <c r="A111" s="176"/>
      <c r="B111" s="307"/>
      <c r="C111" s="192" t="s">
        <v>13</v>
      </c>
      <c r="D111" s="53">
        <v>1335.9923925073663</v>
      </c>
      <c r="E111" s="53">
        <v>63911.936999999998</v>
      </c>
      <c r="F111" s="193">
        <f t="shared" si="21"/>
        <v>65247.929392507365</v>
      </c>
      <c r="G111" s="78">
        <v>7615.1809999999996</v>
      </c>
      <c r="H111" s="78">
        <v>259041.63099999999</v>
      </c>
      <c r="I111" s="179"/>
      <c r="J111" s="193">
        <f t="shared" si="23"/>
        <v>259041.63099999999</v>
      </c>
      <c r="K111" s="78">
        <v>28545.111000000001</v>
      </c>
      <c r="L111" s="54">
        <v>144.666</v>
      </c>
      <c r="M111" s="54"/>
      <c r="N111" s="54"/>
      <c r="O111" s="54"/>
      <c r="P111" s="54"/>
      <c r="Q111" s="180">
        <f t="shared" si="25"/>
        <v>360594.51839250734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9.7000000000000003E-3</v>
      </c>
      <c r="E112" s="52">
        <v>0.1134</v>
      </c>
      <c r="F112" s="191">
        <f t="shared" si="21"/>
        <v>0.1231</v>
      </c>
      <c r="G112" s="77">
        <v>1.29E-2</v>
      </c>
      <c r="H112" s="77">
        <v>3.3094000000000001</v>
      </c>
      <c r="I112" s="174"/>
      <c r="J112" s="191">
        <f t="shared" si="23"/>
        <v>3.3094000000000001</v>
      </c>
      <c r="K112" s="77">
        <v>2.5899999999999999E-2</v>
      </c>
      <c r="L112" s="33">
        <v>4.0000000000000001E-3</v>
      </c>
      <c r="M112" s="33"/>
      <c r="N112" s="33">
        <v>5.9999999999999995E-4</v>
      </c>
      <c r="O112" s="33"/>
      <c r="P112" s="33">
        <v>0.24790000000000001</v>
      </c>
      <c r="Q112" s="175">
        <f t="shared" si="25"/>
        <v>3.7238000000000002</v>
      </c>
      <c r="R112" s="27"/>
    </row>
    <row r="113" spans="1:18">
      <c r="A113" s="176"/>
      <c r="B113" s="307"/>
      <c r="C113" s="192" t="s">
        <v>13</v>
      </c>
      <c r="D113" s="53">
        <v>8.488799952392343</v>
      </c>
      <c r="E113" s="53">
        <v>51.817999999999998</v>
      </c>
      <c r="F113" s="193">
        <f t="shared" si="21"/>
        <v>60.306799952392339</v>
      </c>
      <c r="G113" s="78">
        <v>14.098000000000001</v>
      </c>
      <c r="H113" s="78">
        <v>1372.6659999999999</v>
      </c>
      <c r="I113" s="179"/>
      <c r="J113" s="193">
        <f t="shared" si="23"/>
        <v>1372.6659999999999</v>
      </c>
      <c r="K113" s="78">
        <v>27.972000000000001</v>
      </c>
      <c r="L113" s="54">
        <v>1.296</v>
      </c>
      <c r="M113" s="54"/>
      <c r="N113" s="54">
        <v>0.32400000000000001</v>
      </c>
      <c r="O113" s="54"/>
      <c r="P113" s="54">
        <f>150.97*1.08</f>
        <v>163.04760000000002</v>
      </c>
      <c r="Q113" s="180">
        <f t="shared" si="25"/>
        <v>1639.7103999523924</v>
      </c>
      <c r="R113" s="27"/>
    </row>
    <row r="114" spans="1:18">
      <c r="A114" s="176"/>
      <c r="B114" s="306" t="s">
        <v>78</v>
      </c>
      <c r="C114" s="32" t="s">
        <v>11</v>
      </c>
      <c r="D114" s="52">
        <v>0.71250000000000002</v>
      </c>
      <c r="E114" s="52">
        <v>1.806</v>
      </c>
      <c r="F114" s="191">
        <f t="shared" si="21"/>
        <v>2.5185</v>
      </c>
      <c r="G114" s="77">
        <v>0.53149999999999997</v>
      </c>
      <c r="H114" s="77">
        <v>3.5327999999999999</v>
      </c>
      <c r="I114" s="174"/>
      <c r="J114" s="191">
        <f t="shared" si="23"/>
        <v>3.5327999999999999</v>
      </c>
      <c r="K114" s="77">
        <v>0.17879999999999999</v>
      </c>
      <c r="L114" s="33">
        <v>0.25700000000000001</v>
      </c>
      <c r="M114" s="33">
        <v>1.3080000000000001</v>
      </c>
      <c r="N114" s="33">
        <v>4.1927000000000003</v>
      </c>
      <c r="O114" s="33">
        <v>0.36</v>
      </c>
      <c r="P114" s="33">
        <v>9.8996999999999993</v>
      </c>
      <c r="Q114" s="175">
        <f t="shared" si="25"/>
        <v>22.778999999999996</v>
      </c>
      <c r="R114" s="27"/>
    </row>
    <row r="115" spans="1:18">
      <c r="A115" s="176"/>
      <c r="B115" s="307"/>
      <c r="C115" s="192" t="s">
        <v>13</v>
      </c>
      <c r="D115" s="53">
        <v>299.35655832112144</v>
      </c>
      <c r="E115" s="53">
        <v>774.05399999999997</v>
      </c>
      <c r="F115" s="193">
        <f t="shared" si="21"/>
        <v>1073.4105583211215</v>
      </c>
      <c r="G115" s="78">
        <v>533.625</v>
      </c>
      <c r="H115" s="78">
        <v>3937.4140000000002</v>
      </c>
      <c r="I115" s="179"/>
      <c r="J115" s="193">
        <f t="shared" si="23"/>
        <v>3937.4140000000002</v>
      </c>
      <c r="K115" s="78">
        <v>208.45400000000001</v>
      </c>
      <c r="L115" s="54">
        <v>129.67599999999999</v>
      </c>
      <c r="M115" s="54">
        <f>191.411*1.08</f>
        <v>206.72388000000001</v>
      </c>
      <c r="N115" s="54">
        <v>1749.4870000000001</v>
      </c>
      <c r="O115" s="54">
        <v>106.812</v>
      </c>
      <c r="P115" s="54">
        <f>4264.56*1.08</f>
        <v>4605.7248000000009</v>
      </c>
      <c r="Q115" s="180">
        <f t="shared" si="25"/>
        <v>12551.327238321122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1"/>
        <v>0</v>
      </c>
      <c r="G116" s="77"/>
      <c r="H116" s="77"/>
      <c r="I116" s="174"/>
      <c r="J116" s="191">
        <f t="shared" si="23"/>
        <v>0</v>
      </c>
      <c r="K116" s="77"/>
      <c r="L116" s="33"/>
      <c r="M116" s="33"/>
      <c r="N116" s="33"/>
      <c r="O116" s="33"/>
      <c r="P116" s="33"/>
      <c r="Q116" s="175">
        <f t="shared" si="2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1"/>
        <v>0</v>
      </c>
      <c r="G117" s="78"/>
      <c r="H117" s="78"/>
      <c r="I117" s="179"/>
      <c r="J117" s="193">
        <f t="shared" si="23"/>
        <v>0</v>
      </c>
      <c r="K117" s="78"/>
      <c r="L117" s="54"/>
      <c r="M117" s="54"/>
      <c r="N117" s="54"/>
      <c r="O117" s="54"/>
      <c r="P117" s="54"/>
      <c r="Q117" s="180">
        <f t="shared" si="25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4.4000000000000003E-3</v>
      </c>
      <c r="E118" s="52">
        <v>6.1000000000000004E-3</v>
      </c>
      <c r="F118" s="191">
        <f t="shared" si="21"/>
        <v>1.0500000000000001E-2</v>
      </c>
      <c r="G118" s="77"/>
      <c r="H118" s="77"/>
      <c r="I118" s="174"/>
      <c r="J118" s="191">
        <f t="shared" si="23"/>
        <v>0</v>
      </c>
      <c r="K118" s="77"/>
      <c r="L118" s="33"/>
      <c r="M118" s="33"/>
      <c r="N118" s="33"/>
      <c r="O118" s="33"/>
      <c r="P118" s="33"/>
      <c r="Q118" s="175">
        <f t="shared" si="25"/>
        <v>1.0500000000000001E-2</v>
      </c>
      <c r="R118" s="27"/>
    </row>
    <row r="119" spans="1:18">
      <c r="A119" s="176"/>
      <c r="B119" s="307"/>
      <c r="C119" s="192" t="s">
        <v>13</v>
      </c>
      <c r="D119" s="53">
        <v>1.6415999907934302</v>
      </c>
      <c r="E119" s="53">
        <v>4.0720000000000001</v>
      </c>
      <c r="F119" s="193">
        <f t="shared" si="21"/>
        <v>5.7135999907934298</v>
      </c>
      <c r="G119" s="78"/>
      <c r="H119" s="78"/>
      <c r="I119" s="179"/>
      <c r="J119" s="193">
        <f t="shared" si="23"/>
        <v>0</v>
      </c>
      <c r="K119" s="78"/>
      <c r="L119" s="54"/>
      <c r="M119" s="54"/>
      <c r="N119" s="54"/>
      <c r="O119" s="54"/>
      <c r="P119" s="54"/>
      <c r="Q119" s="180">
        <f t="shared" si="25"/>
        <v>5.7135999907934298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2.4E-2</v>
      </c>
      <c r="E120" s="52">
        <v>1.5</v>
      </c>
      <c r="F120" s="191">
        <f t="shared" si="21"/>
        <v>1.524</v>
      </c>
      <c r="G120" s="77"/>
      <c r="H120" s="77">
        <v>0.87350000000000005</v>
      </c>
      <c r="I120" s="174"/>
      <c r="J120" s="191">
        <f t="shared" si="23"/>
        <v>0.87350000000000005</v>
      </c>
      <c r="K120" s="77">
        <v>0.51</v>
      </c>
      <c r="L120" s="33"/>
      <c r="M120" s="33"/>
      <c r="N120" s="33"/>
      <c r="O120" s="33"/>
      <c r="P120" s="33"/>
      <c r="Q120" s="175">
        <f t="shared" si="25"/>
        <v>2.9074999999999998</v>
      </c>
      <c r="R120" s="27"/>
    </row>
    <row r="121" spans="1:18">
      <c r="A121" s="176"/>
      <c r="B121" s="307"/>
      <c r="C121" s="192" t="s">
        <v>13</v>
      </c>
      <c r="D121" s="53">
        <v>9.331199947667919</v>
      </c>
      <c r="E121" s="53">
        <v>648</v>
      </c>
      <c r="F121" s="193">
        <f t="shared" si="21"/>
        <v>657.33119994766787</v>
      </c>
      <c r="G121" s="78"/>
      <c r="H121" s="78">
        <v>1755.625</v>
      </c>
      <c r="I121" s="179"/>
      <c r="J121" s="193">
        <f t="shared" si="23"/>
        <v>1755.625</v>
      </c>
      <c r="K121" s="78">
        <v>36.72</v>
      </c>
      <c r="L121" s="54"/>
      <c r="M121" s="54"/>
      <c r="N121" s="54"/>
      <c r="O121" s="54"/>
      <c r="P121" s="54"/>
      <c r="Q121" s="180">
        <f t="shared" si="25"/>
        <v>2449.6761999476676</v>
      </c>
      <c r="R121" s="27"/>
    </row>
    <row r="122" spans="1:18">
      <c r="A122" s="176"/>
      <c r="B122" s="306" t="s">
        <v>84</v>
      </c>
      <c r="C122" s="32" t="s">
        <v>11</v>
      </c>
      <c r="D122" s="52">
        <v>5.0667999999999997</v>
      </c>
      <c r="E122" s="52">
        <v>0.33500000000000002</v>
      </c>
      <c r="F122" s="191">
        <f t="shared" si="21"/>
        <v>5.4017999999999997</v>
      </c>
      <c r="G122" s="77">
        <v>0.88570000000000004</v>
      </c>
      <c r="H122" s="77">
        <v>4.9984000000000002</v>
      </c>
      <c r="I122" s="174"/>
      <c r="J122" s="191">
        <f t="shared" si="23"/>
        <v>4.9984000000000002</v>
      </c>
      <c r="K122" s="77"/>
      <c r="L122" s="33">
        <v>1.7891999999999999</v>
      </c>
      <c r="M122" s="33">
        <v>13.0245</v>
      </c>
      <c r="N122" s="33">
        <v>1.5007999999999999</v>
      </c>
      <c r="O122" s="33"/>
      <c r="P122" s="33">
        <v>2E-3</v>
      </c>
      <c r="Q122" s="175">
        <f t="shared" si="25"/>
        <v>27.602399999999999</v>
      </c>
      <c r="R122" s="27"/>
    </row>
    <row r="123" spans="1:18">
      <c r="A123" s="176"/>
      <c r="B123" s="307"/>
      <c r="C123" s="192" t="s">
        <v>13</v>
      </c>
      <c r="D123" s="53">
        <v>3397.6205809451567</v>
      </c>
      <c r="E123" s="53">
        <v>235.98</v>
      </c>
      <c r="F123" s="193">
        <f t="shared" si="21"/>
        <v>3633.6005809451567</v>
      </c>
      <c r="G123" s="78">
        <v>1461.0409999999999</v>
      </c>
      <c r="H123" s="78">
        <v>3428.1280000000002</v>
      </c>
      <c r="I123" s="179"/>
      <c r="J123" s="193">
        <f t="shared" si="23"/>
        <v>3428.1280000000002</v>
      </c>
      <c r="K123" s="78"/>
      <c r="L123" s="54">
        <v>801.28200000000004</v>
      </c>
      <c r="M123" s="54">
        <f>22933.221*1.08</f>
        <v>24767.878680000002</v>
      </c>
      <c r="N123" s="54">
        <v>2484.7510000000002</v>
      </c>
      <c r="O123" s="54"/>
      <c r="P123" s="54">
        <f>1.6*1.08</f>
        <v>1.7280000000000002</v>
      </c>
      <c r="Q123" s="180">
        <f t="shared" si="25"/>
        <v>36578.409260945162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1.1351</v>
      </c>
      <c r="E124" s="52">
        <v>2.23E-2</v>
      </c>
      <c r="F124" s="191">
        <f t="shared" si="21"/>
        <v>1.1574</v>
      </c>
      <c r="G124" s="77">
        <v>6.2799999999999995E-2</v>
      </c>
      <c r="H124" s="77">
        <v>0.71579999999999999</v>
      </c>
      <c r="I124" s="174"/>
      <c r="J124" s="191">
        <f t="shared" si="23"/>
        <v>0.71579999999999999</v>
      </c>
      <c r="K124" s="77">
        <v>0.3548</v>
      </c>
      <c r="L124" s="33">
        <v>7.51E-2</v>
      </c>
      <c r="M124" s="33">
        <v>0.1696</v>
      </c>
      <c r="N124" s="33">
        <v>2.5499999999999998E-2</v>
      </c>
      <c r="O124" s="33">
        <v>2.5999999999999999E-2</v>
      </c>
      <c r="P124" s="33"/>
      <c r="Q124" s="175">
        <f t="shared" si="25"/>
        <v>2.5869999999999997</v>
      </c>
      <c r="R124" s="27"/>
    </row>
    <row r="125" spans="1:18">
      <c r="A125" s="27"/>
      <c r="B125" s="307"/>
      <c r="C125" s="192" t="s">
        <v>13</v>
      </c>
      <c r="D125" s="53">
        <v>3396.1571809533634</v>
      </c>
      <c r="E125" s="53">
        <v>31.827000000000002</v>
      </c>
      <c r="F125" s="193">
        <f t="shared" si="21"/>
        <v>3427.9841809533636</v>
      </c>
      <c r="G125" s="78">
        <v>56.779000000000003</v>
      </c>
      <c r="H125" s="78">
        <v>560.91499999999996</v>
      </c>
      <c r="I125" s="179"/>
      <c r="J125" s="193">
        <f t="shared" si="23"/>
        <v>560.91499999999996</v>
      </c>
      <c r="K125" s="78">
        <v>158.46899999999999</v>
      </c>
      <c r="L125" s="54">
        <v>76.966999999999999</v>
      </c>
      <c r="M125" s="54">
        <f>94.955*1.08</f>
        <v>102.5514</v>
      </c>
      <c r="N125" s="54">
        <v>15.151999999999999</v>
      </c>
      <c r="O125" s="54">
        <v>1.4039999999999999</v>
      </c>
      <c r="P125" s="54"/>
      <c r="Q125" s="180">
        <f t="shared" si="25"/>
        <v>4400.2215809533636</v>
      </c>
      <c r="R125" s="27"/>
    </row>
    <row r="126" spans="1:18">
      <c r="A126" s="27"/>
      <c r="B126" s="46" t="s">
        <v>15</v>
      </c>
      <c r="C126" s="32" t="s">
        <v>11</v>
      </c>
      <c r="D126" s="52"/>
      <c r="E126" s="52"/>
      <c r="F126" s="191">
        <f t="shared" si="21"/>
        <v>0</v>
      </c>
      <c r="G126" s="77">
        <v>0</v>
      </c>
      <c r="H126" s="77">
        <v>2.75E-2</v>
      </c>
      <c r="I126" s="174"/>
      <c r="J126" s="191">
        <f t="shared" si="23"/>
        <v>2.75E-2</v>
      </c>
      <c r="K126" s="77"/>
      <c r="L126" s="33">
        <v>-0.57699999999999996</v>
      </c>
      <c r="M126" s="33"/>
      <c r="N126" s="33"/>
      <c r="O126" s="33"/>
      <c r="P126" s="33"/>
      <c r="Q126" s="175">
        <f t="shared" si="25"/>
        <v>-0.54949999999999999</v>
      </c>
      <c r="R126" s="27"/>
    </row>
    <row r="127" spans="1:18">
      <c r="A127" s="27"/>
      <c r="B127" s="177" t="s">
        <v>86</v>
      </c>
      <c r="C127" s="192" t="s">
        <v>13</v>
      </c>
      <c r="D127" s="53"/>
      <c r="E127" s="53"/>
      <c r="F127" s="193">
        <f t="shared" si="21"/>
        <v>0</v>
      </c>
      <c r="G127" s="78">
        <v>135.21700000000001</v>
      </c>
      <c r="H127" s="78">
        <v>380.80799999999999</v>
      </c>
      <c r="I127" s="179"/>
      <c r="J127" s="193">
        <f t="shared" si="23"/>
        <v>380.80799999999999</v>
      </c>
      <c r="K127" s="78"/>
      <c r="L127" s="54">
        <v>-62.316000000000003</v>
      </c>
      <c r="M127" s="54"/>
      <c r="N127" s="54"/>
      <c r="O127" s="54"/>
      <c r="P127" s="54"/>
      <c r="Q127" s="180">
        <f t="shared" si="25"/>
        <v>453.70899999999995</v>
      </c>
      <c r="R127" s="27"/>
    </row>
    <row r="128" spans="1:18">
      <c r="A128" s="27"/>
      <c r="B128" s="308" t="s">
        <v>19</v>
      </c>
      <c r="C128" s="32" t="s">
        <v>11</v>
      </c>
      <c r="D128" s="55">
        <f t="shared" ref="D128:E129" si="32">+D106+D108+D110+D112+D114+D116+D118+D120+D122+D124+D126</f>
        <v>12.616200000000001</v>
      </c>
      <c r="E128" s="55">
        <f t="shared" si="32"/>
        <v>311.22289999999998</v>
      </c>
      <c r="F128" s="191">
        <f t="shared" si="21"/>
        <v>323.83909999999997</v>
      </c>
      <c r="G128" s="55">
        <f t="shared" ref="G128:H129" si="33">+G106+G108+G110+G112+G114+G116+G118+G120+G122+G124+G126</f>
        <v>23.1676</v>
      </c>
      <c r="H128" s="55">
        <f t="shared" si="33"/>
        <v>1224.3012999999996</v>
      </c>
      <c r="I128" s="50"/>
      <c r="J128" s="191">
        <f t="shared" si="23"/>
        <v>1224.3012999999996</v>
      </c>
      <c r="K128" s="55">
        <f t="shared" ref="K128:P129" si="34">+K106+K108+K110+K112+K114+K116+K118+K120+K122+K124+K126</f>
        <v>136.96869999999998</v>
      </c>
      <c r="L128" s="55">
        <f t="shared" si="34"/>
        <v>2.9466000000000001</v>
      </c>
      <c r="M128" s="33">
        <f t="shared" si="34"/>
        <v>14.5021</v>
      </c>
      <c r="N128" s="33">
        <f t="shared" si="34"/>
        <v>5.7196000000000007</v>
      </c>
      <c r="O128" s="55">
        <f t="shared" si="34"/>
        <v>0.6401</v>
      </c>
      <c r="P128" s="55">
        <f t="shared" si="34"/>
        <v>10.1645</v>
      </c>
      <c r="Q128" s="175">
        <f t="shared" si="25"/>
        <v>1742.2495999999994</v>
      </c>
      <c r="R128" s="27"/>
    </row>
    <row r="129" spans="1:18">
      <c r="A129" s="183"/>
      <c r="B129" s="309"/>
      <c r="C129" s="192" t="s">
        <v>13</v>
      </c>
      <c r="D129" s="54">
        <f t="shared" si="32"/>
        <v>9563.7077463639471</v>
      </c>
      <c r="E129" s="54">
        <f t="shared" si="32"/>
        <v>65830.800999999992</v>
      </c>
      <c r="F129" s="193">
        <f t="shared" si="21"/>
        <v>75394.508746363936</v>
      </c>
      <c r="G129" s="68">
        <f t="shared" si="33"/>
        <v>11671.465</v>
      </c>
      <c r="H129" s="68">
        <f t="shared" si="33"/>
        <v>279892.61900000001</v>
      </c>
      <c r="I129" s="63"/>
      <c r="J129" s="193">
        <f t="shared" si="23"/>
        <v>279892.61900000001</v>
      </c>
      <c r="K129" s="68">
        <f t="shared" si="34"/>
        <v>29504.609000000008</v>
      </c>
      <c r="L129" s="54">
        <f t="shared" si="34"/>
        <v>1974.4880000000001</v>
      </c>
      <c r="M129" s="54">
        <f t="shared" si="34"/>
        <v>25077.153960000003</v>
      </c>
      <c r="N129" s="54">
        <f t="shared" si="34"/>
        <v>4249.7139999999999</v>
      </c>
      <c r="O129" s="54">
        <f t="shared" si="34"/>
        <v>398.19600000000003</v>
      </c>
      <c r="P129" s="54">
        <f t="shared" si="34"/>
        <v>4779.4212000000007</v>
      </c>
      <c r="Q129" s="180">
        <f t="shared" si="25"/>
        <v>432942.17490636394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1"/>
        <v>0</v>
      </c>
      <c r="G130" s="77"/>
      <c r="H130" s="77"/>
      <c r="I130" s="174"/>
      <c r="J130" s="191">
        <f t="shared" si="23"/>
        <v>0</v>
      </c>
      <c r="K130" s="77"/>
      <c r="L130" s="33"/>
      <c r="M130" s="33"/>
      <c r="N130" s="33"/>
      <c r="O130" s="33"/>
      <c r="P130" s="33"/>
      <c r="Q130" s="175">
        <f t="shared" si="2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1"/>
        <v>0</v>
      </c>
      <c r="G131" s="78"/>
      <c r="H131" s="78"/>
      <c r="I131" s="179"/>
      <c r="J131" s="193">
        <f t="shared" si="23"/>
        <v>0</v>
      </c>
      <c r="K131" s="78"/>
      <c r="L131" s="54"/>
      <c r="M131" s="54"/>
      <c r="N131" s="54"/>
      <c r="O131" s="54"/>
      <c r="P131" s="54"/>
      <c r="Q131" s="180">
        <f t="shared" si="2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21"/>
        <v>0</v>
      </c>
      <c r="G132" s="77"/>
      <c r="H132" s="77"/>
      <c r="I132" s="174"/>
      <c r="J132" s="191">
        <f t="shared" si="23"/>
        <v>0</v>
      </c>
      <c r="K132" s="77"/>
      <c r="L132" s="33"/>
      <c r="M132" s="33"/>
      <c r="N132" s="33"/>
      <c r="O132" s="33"/>
      <c r="P132" s="33"/>
      <c r="Q132" s="175">
        <f t="shared" si="25"/>
        <v>0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21"/>
        <v>0</v>
      </c>
      <c r="G133" s="78"/>
      <c r="H133" s="78"/>
      <c r="I133" s="179"/>
      <c r="J133" s="193">
        <f t="shared" si="23"/>
        <v>0</v>
      </c>
      <c r="K133" s="78"/>
      <c r="L133" s="54"/>
      <c r="M133" s="54"/>
      <c r="N133" s="54"/>
      <c r="O133" s="54"/>
      <c r="P133" s="54"/>
      <c r="Q133" s="197">
        <f t="shared" si="25"/>
        <v>0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35">SUM(D134:E134)</f>
        <v>0</v>
      </c>
      <c r="G134" s="139"/>
      <c r="H134" s="139">
        <v>8.0000000000000002E-3</v>
      </c>
      <c r="I134" s="200"/>
      <c r="J134" s="199">
        <f t="shared" ref="J134:J142" si="36">SUM(H134:I134)</f>
        <v>8.0000000000000002E-3</v>
      </c>
      <c r="K134" s="139"/>
      <c r="L134" s="93"/>
      <c r="M134" s="93"/>
      <c r="N134" s="93"/>
      <c r="O134" s="93"/>
      <c r="P134" s="93"/>
      <c r="Q134" s="175">
        <f t="shared" si="25"/>
        <v>8.0000000000000002E-3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35"/>
        <v>0</v>
      </c>
      <c r="G135" s="77"/>
      <c r="H135" s="77"/>
      <c r="I135" s="174"/>
      <c r="J135" s="201">
        <f t="shared" si="36"/>
        <v>0</v>
      </c>
      <c r="K135" s="77"/>
      <c r="L135" s="33"/>
      <c r="M135" s="49"/>
      <c r="N135" s="33"/>
      <c r="O135" s="33"/>
      <c r="P135" s="33"/>
      <c r="Q135" s="175">
        <f t="shared" si="25"/>
        <v>0</v>
      </c>
      <c r="R135" s="27"/>
    </row>
    <row r="136" spans="1:18">
      <c r="A136" s="176" t="s">
        <v>18</v>
      </c>
      <c r="B136" s="54"/>
      <c r="C136" s="192" t="s">
        <v>13</v>
      </c>
      <c r="D136" s="53"/>
      <c r="E136" s="53"/>
      <c r="F136" s="202">
        <f t="shared" si="35"/>
        <v>0</v>
      </c>
      <c r="G136" s="78"/>
      <c r="H136" s="103">
        <v>7.3440000000000003</v>
      </c>
      <c r="I136" s="179"/>
      <c r="J136" s="202">
        <f t="shared" si="36"/>
        <v>7.3440000000000003</v>
      </c>
      <c r="K136" s="103"/>
      <c r="L136" s="54"/>
      <c r="M136" s="92"/>
      <c r="N136" s="54"/>
      <c r="O136" s="54"/>
      <c r="P136" s="54"/>
      <c r="Q136" s="197">
        <f t="shared" si="25"/>
        <v>7.3440000000000003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35"/>
        <v>0</v>
      </c>
      <c r="G137" s="49"/>
      <c r="H137" s="49">
        <f t="shared" ref="H137" si="37">+H130+H132+H134</f>
        <v>8.0000000000000002E-3</v>
      </c>
      <c r="I137" s="47"/>
      <c r="J137" s="199">
        <f t="shared" si="36"/>
        <v>8.0000000000000002E-3</v>
      </c>
      <c r="K137" s="49"/>
      <c r="L137" s="33"/>
      <c r="M137" s="97"/>
      <c r="N137" s="160"/>
      <c r="O137" s="93"/>
      <c r="P137" s="93"/>
      <c r="Q137" s="175">
        <f t="shared" si="25"/>
        <v>8.0000000000000002E-3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35"/>
        <v>0</v>
      </c>
      <c r="G138" s="98"/>
      <c r="H138" s="49"/>
      <c r="I138" s="50"/>
      <c r="J138" s="201">
        <f t="shared" si="36"/>
        <v>0</v>
      </c>
      <c r="K138" s="49"/>
      <c r="L138" s="33"/>
      <c r="M138" s="69"/>
      <c r="N138" s="69"/>
      <c r="O138" s="33"/>
      <c r="P138" s="33"/>
      <c r="Q138" s="175">
        <f t="shared" si="2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35"/>
        <v>0</v>
      </c>
      <c r="G139" s="68"/>
      <c r="H139" s="68">
        <f t="shared" ref="H139" si="38">+H131+H133+H136</f>
        <v>7.3440000000000003</v>
      </c>
      <c r="I139" s="63"/>
      <c r="J139" s="202">
        <f t="shared" si="36"/>
        <v>7.3440000000000003</v>
      </c>
      <c r="K139" s="68"/>
      <c r="L139" s="54"/>
      <c r="M139" s="70"/>
      <c r="N139" s="70"/>
      <c r="O139" s="54"/>
      <c r="P139" s="54"/>
      <c r="Q139" s="197">
        <f t="shared" si="25"/>
        <v>7.3440000000000003</v>
      </c>
      <c r="R139" s="27"/>
    </row>
    <row r="140" spans="1:18">
      <c r="A140" s="27"/>
      <c r="B140" s="28" t="s">
        <v>0</v>
      </c>
      <c r="C140" s="29" t="s">
        <v>11</v>
      </c>
      <c r="D140" s="125">
        <f t="shared" ref="D140:E140" si="39">D137+D128+D104</f>
        <v>940.1694</v>
      </c>
      <c r="E140" s="127">
        <f t="shared" si="39"/>
        <v>1341.0925</v>
      </c>
      <c r="F140" s="199">
        <f t="shared" si="35"/>
        <v>2281.2619</v>
      </c>
      <c r="G140" s="147">
        <f t="shared" ref="G140:H140" si="40">G137+G128+G104</f>
        <v>14462.694900000002</v>
      </c>
      <c r="H140" s="152">
        <f t="shared" si="40"/>
        <v>9665.5949999999993</v>
      </c>
      <c r="I140" s="57"/>
      <c r="J140" s="199">
        <f t="shared" si="36"/>
        <v>9665.5949999999993</v>
      </c>
      <c r="K140" s="155">
        <f>K137+K128+K104</f>
        <v>9130.2366999999977</v>
      </c>
      <c r="L140" s="93">
        <f t="shared" ref="L140:M140" si="41">L137+L128+L104</f>
        <v>1021.3816499999999</v>
      </c>
      <c r="M140" s="97">
        <f t="shared" si="41"/>
        <v>15.5783</v>
      </c>
      <c r="N140" s="97">
        <f>N137+N128+N104</f>
        <v>144.5291</v>
      </c>
      <c r="O140" s="93">
        <f t="shared" ref="O140:P140" si="42">O137+O128+O104</f>
        <v>3.4274999999999998</v>
      </c>
      <c r="P140" s="93">
        <f t="shared" si="42"/>
        <v>35.109970000000004</v>
      </c>
      <c r="Q140" s="175">
        <f t="shared" si="25"/>
        <v>36759.815019999995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35"/>
        <v>0</v>
      </c>
      <c r="G141" s="148"/>
      <c r="H141" s="144"/>
      <c r="I141" s="206"/>
      <c r="J141" s="201">
        <f t="shared" si="36"/>
        <v>0</v>
      </c>
      <c r="K141" s="148"/>
      <c r="L141" s="33"/>
      <c r="M141" s="69"/>
      <c r="N141" s="69"/>
      <c r="O141" s="33"/>
      <c r="P141" s="33"/>
      <c r="Q141" s="175">
        <f t="shared" ref="Q141:Q142" si="43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 t="shared" ref="D142:E142" si="44">D139+D129+D105</f>
        <v>727494.39600000007</v>
      </c>
      <c r="E142" s="118">
        <f t="shared" si="44"/>
        <v>576382.51300000004</v>
      </c>
      <c r="F142" s="207">
        <f t="shared" si="35"/>
        <v>1303876.909</v>
      </c>
      <c r="G142" s="136">
        <f t="shared" ref="G142:H142" si="45">G139+G129+G105</f>
        <v>2366404.8839999996</v>
      </c>
      <c r="H142" s="153">
        <f t="shared" si="45"/>
        <v>1695378.848</v>
      </c>
      <c r="I142" s="58"/>
      <c r="J142" s="207">
        <f t="shared" si="36"/>
        <v>1695378.848</v>
      </c>
      <c r="K142" s="136">
        <f>K139+K129+K105</f>
        <v>1147103.1829999997</v>
      </c>
      <c r="L142" s="37">
        <f t="shared" ref="L142:M142" si="46">L139+L129+L105</f>
        <v>457224.20400000003</v>
      </c>
      <c r="M142" s="71">
        <f t="shared" si="46"/>
        <v>25451.707680000003</v>
      </c>
      <c r="N142" s="71">
        <f>N139+N129+N105</f>
        <v>77931.330000000016</v>
      </c>
      <c r="O142" s="37">
        <f t="shared" ref="O142:P142" si="47">O139+O129+O105</f>
        <v>3291.1529999999998</v>
      </c>
      <c r="P142" s="37">
        <f t="shared" si="47"/>
        <v>26083.995840000003</v>
      </c>
      <c r="Q142" s="187">
        <f t="shared" si="43"/>
        <v>7102746.214519999</v>
      </c>
      <c r="R142" s="27"/>
    </row>
    <row r="143" spans="1:18">
      <c r="Q143" s="208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112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214"/>
      <c r="E5" s="52"/>
      <c r="F5" s="173">
        <f>SUM(D5:E5)</f>
        <v>0</v>
      </c>
      <c r="G5" s="77">
        <v>4.2869999999999999</v>
      </c>
      <c r="H5" s="77">
        <v>1351.7</v>
      </c>
      <c r="I5" s="174"/>
      <c r="J5" s="173">
        <f>SUM(H5:I5)</f>
        <v>1351.7</v>
      </c>
      <c r="K5" s="77">
        <v>1269.5125</v>
      </c>
      <c r="L5" s="33">
        <v>18.176500000000001</v>
      </c>
      <c r="M5" s="33"/>
      <c r="N5" s="33"/>
      <c r="O5" s="33"/>
      <c r="P5" s="33"/>
      <c r="Q5" s="175">
        <f>SUM(F5:G5,J5:P5)</f>
        <v>2643.6759999999999</v>
      </c>
      <c r="R5" s="47"/>
    </row>
    <row r="6" spans="1:18">
      <c r="A6" s="176" t="s">
        <v>12</v>
      </c>
      <c r="B6" s="307"/>
      <c r="C6" s="177" t="s">
        <v>13</v>
      </c>
      <c r="D6" s="215"/>
      <c r="E6" s="53"/>
      <c r="F6" s="178">
        <f>SUM(D6:E6)</f>
        <v>0</v>
      </c>
      <c r="G6" s="78">
        <v>66.578999999999994</v>
      </c>
      <c r="H6" s="78">
        <v>26554.425999999999</v>
      </c>
      <c r="I6" s="179"/>
      <c r="J6" s="178">
        <f>SUM(H6:I6)</f>
        <v>26554.425999999999</v>
      </c>
      <c r="K6" s="78">
        <v>24656.128000000001</v>
      </c>
      <c r="L6" s="54">
        <v>372.28500000000003</v>
      </c>
      <c r="M6" s="54"/>
      <c r="N6" s="54"/>
      <c r="O6" s="54"/>
      <c r="P6" s="54"/>
      <c r="Q6" s="180">
        <f>SUM(F6:G6,J6:P6)</f>
        <v>51649.418000000005</v>
      </c>
      <c r="R6" s="47"/>
    </row>
    <row r="7" spans="1:18">
      <c r="A7" s="176" t="s">
        <v>14</v>
      </c>
      <c r="B7" s="46" t="s">
        <v>15</v>
      </c>
      <c r="C7" s="48" t="s">
        <v>11</v>
      </c>
      <c r="D7" s="214"/>
      <c r="E7" s="52">
        <v>1E-3</v>
      </c>
      <c r="F7" s="181">
        <f t="shared" ref="F7:F68" si="0">SUM(D7:E7)</f>
        <v>1E-3</v>
      </c>
      <c r="G7" s="77"/>
      <c r="H7" s="77">
        <v>144.9</v>
      </c>
      <c r="I7" s="174"/>
      <c r="J7" s="181">
        <f t="shared" ref="J7:J68" si="1">SUM(H7:I7)</f>
        <v>144.9</v>
      </c>
      <c r="K7" s="77">
        <v>60.280999999999999</v>
      </c>
      <c r="L7" s="33">
        <v>0.20899999999999999</v>
      </c>
      <c r="M7" s="33"/>
      <c r="N7" s="33"/>
      <c r="O7" s="33"/>
      <c r="P7" s="33"/>
      <c r="Q7" s="175">
        <f t="shared" ref="Q7:Q68" si="2">SUM(F7:G7,J7:P7)</f>
        <v>205.39100000000002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215"/>
      <c r="E8" s="53">
        <v>0.108</v>
      </c>
      <c r="F8" s="178">
        <f t="shared" si="0"/>
        <v>0.108</v>
      </c>
      <c r="G8" s="78"/>
      <c r="H8" s="78">
        <v>2733.0639999999999</v>
      </c>
      <c r="I8" s="179"/>
      <c r="J8" s="178">
        <f t="shared" si="1"/>
        <v>2733.0639999999999</v>
      </c>
      <c r="K8" s="78">
        <v>1783.403</v>
      </c>
      <c r="L8" s="54">
        <v>2.2570000000000001</v>
      </c>
      <c r="M8" s="54"/>
      <c r="N8" s="54"/>
      <c r="O8" s="54"/>
      <c r="P8" s="54"/>
      <c r="Q8" s="180">
        <f t="shared" si="2"/>
        <v>4518.8319999999994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f t="shared" ref="E9:E10" si="3">+E5+E7</f>
        <v>1E-3</v>
      </c>
      <c r="F9" s="181">
        <f>SUM(D9:E9)</f>
        <v>1E-3</v>
      </c>
      <c r="G9" s="49">
        <f t="shared" ref="G9:H10" si="4">+G5+G7</f>
        <v>4.2869999999999999</v>
      </c>
      <c r="H9" s="49">
        <f t="shared" si="4"/>
        <v>1496.6000000000001</v>
      </c>
      <c r="I9" s="50"/>
      <c r="J9" s="181">
        <f>SUM(H9:I9)</f>
        <v>1496.6000000000001</v>
      </c>
      <c r="K9" s="49">
        <f t="shared" ref="K9:L10" si="5">+K5+K7</f>
        <v>1329.7935</v>
      </c>
      <c r="L9" s="33">
        <f t="shared" si="5"/>
        <v>18.3855</v>
      </c>
      <c r="M9" s="33"/>
      <c r="N9" s="33"/>
      <c r="O9" s="33"/>
      <c r="P9" s="33"/>
      <c r="Q9" s="175">
        <f t="shared" si="2"/>
        <v>2849.067</v>
      </c>
      <c r="R9" s="47"/>
    </row>
    <row r="10" spans="1:18">
      <c r="A10" s="183"/>
      <c r="B10" s="309"/>
      <c r="C10" s="177" t="s">
        <v>13</v>
      </c>
      <c r="D10" s="54"/>
      <c r="E10" s="54">
        <f t="shared" si="3"/>
        <v>0.108</v>
      </c>
      <c r="F10" s="178">
        <f t="shared" si="0"/>
        <v>0.108</v>
      </c>
      <c r="G10" s="68">
        <f t="shared" si="4"/>
        <v>66.578999999999994</v>
      </c>
      <c r="H10" s="68">
        <f t="shared" si="4"/>
        <v>29287.489999999998</v>
      </c>
      <c r="I10" s="63"/>
      <c r="J10" s="178">
        <f t="shared" si="1"/>
        <v>29287.489999999998</v>
      </c>
      <c r="K10" s="68">
        <f t="shared" si="5"/>
        <v>26439.530999999999</v>
      </c>
      <c r="L10" s="54">
        <f t="shared" si="5"/>
        <v>374.54200000000003</v>
      </c>
      <c r="M10" s="54"/>
      <c r="N10" s="54"/>
      <c r="O10" s="54"/>
      <c r="P10" s="54"/>
      <c r="Q10" s="180">
        <f t="shared" si="2"/>
        <v>56168.25</v>
      </c>
      <c r="R10" s="47"/>
    </row>
    <row r="11" spans="1:18">
      <c r="A11" s="310" t="s">
        <v>20</v>
      </c>
      <c r="B11" s="311"/>
      <c r="C11" s="48" t="s">
        <v>11</v>
      </c>
      <c r="D11" s="214">
        <v>0.66359999999999997</v>
      </c>
      <c r="E11" s="52">
        <v>0.20860000000000001</v>
      </c>
      <c r="F11" s="181">
        <f t="shared" si="0"/>
        <v>0.87219999999999998</v>
      </c>
      <c r="G11" s="77">
        <v>2.4750000000000001</v>
      </c>
      <c r="H11" s="77">
        <v>4.4200000000000003E-2</v>
      </c>
      <c r="I11" s="174"/>
      <c r="J11" s="181">
        <f t="shared" si="1"/>
        <v>4.4200000000000003E-2</v>
      </c>
      <c r="K11" s="77">
        <v>0.252</v>
      </c>
      <c r="L11" s="33">
        <v>0.1246</v>
      </c>
      <c r="M11" s="33"/>
      <c r="N11" s="33"/>
      <c r="O11" s="33"/>
      <c r="P11" s="33"/>
      <c r="Q11" s="175">
        <f t="shared" si="2"/>
        <v>3.7679999999999998</v>
      </c>
      <c r="R11" s="47"/>
    </row>
    <row r="12" spans="1:18">
      <c r="A12" s="312"/>
      <c r="B12" s="313"/>
      <c r="C12" s="177" t="s">
        <v>13</v>
      </c>
      <c r="D12" s="216">
        <v>63.676800694304923</v>
      </c>
      <c r="E12" s="60">
        <v>20.446999999999999</v>
      </c>
      <c r="F12" s="178">
        <f t="shared" si="0"/>
        <v>84.123800694304919</v>
      </c>
      <c r="G12" s="78">
        <v>1400.1</v>
      </c>
      <c r="H12" s="78">
        <v>80.135999999999996</v>
      </c>
      <c r="I12" s="179"/>
      <c r="J12" s="178">
        <f t="shared" si="1"/>
        <v>80.135999999999996</v>
      </c>
      <c r="K12" s="78">
        <v>8.6240000000000006</v>
      </c>
      <c r="L12" s="54">
        <v>97.951999999999998</v>
      </c>
      <c r="M12" s="54"/>
      <c r="N12" s="54"/>
      <c r="O12" s="54"/>
      <c r="P12" s="54"/>
      <c r="Q12" s="180">
        <f t="shared" si="2"/>
        <v>1670.9358006943048</v>
      </c>
      <c r="R12" s="47"/>
    </row>
    <row r="13" spans="1:18">
      <c r="A13" s="27"/>
      <c r="B13" s="306" t="s">
        <v>21</v>
      </c>
      <c r="C13" s="48" t="s">
        <v>11</v>
      </c>
      <c r="D13" s="214">
        <v>2.7522000000000002</v>
      </c>
      <c r="E13" s="52">
        <v>5.5407000000000002</v>
      </c>
      <c r="F13" s="181">
        <f t="shared" si="0"/>
        <v>8.2928999999999995</v>
      </c>
      <c r="G13" s="77">
        <v>0.33700000000000002</v>
      </c>
      <c r="H13" s="77">
        <v>4.1000000000000002E-2</v>
      </c>
      <c r="I13" s="174"/>
      <c r="J13" s="181">
        <f t="shared" si="1"/>
        <v>4.1000000000000002E-2</v>
      </c>
      <c r="K13" s="77"/>
      <c r="L13" s="33">
        <v>0.1608</v>
      </c>
      <c r="M13" s="33"/>
      <c r="N13" s="33"/>
      <c r="O13" s="33"/>
      <c r="P13" s="33"/>
      <c r="Q13" s="175">
        <f t="shared" si="2"/>
        <v>8.8316999999999997</v>
      </c>
      <c r="R13" s="47"/>
    </row>
    <row r="14" spans="1:18">
      <c r="A14" s="172" t="s">
        <v>0</v>
      </c>
      <c r="B14" s="307"/>
      <c r="C14" s="177" t="s">
        <v>13</v>
      </c>
      <c r="D14" s="216">
        <v>8028.1152875351763</v>
      </c>
      <c r="E14" s="53">
        <v>16535.978999999999</v>
      </c>
      <c r="F14" s="178">
        <f t="shared" si="0"/>
        <v>24564.094287535176</v>
      </c>
      <c r="G14" s="78">
        <v>1258.8420000000001</v>
      </c>
      <c r="H14" s="78">
        <v>143.91</v>
      </c>
      <c r="I14" s="179"/>
      <c r="J14" s="178">
        <f t="shared" si="1"/>
        <v>143.91</v>
      </c>
      <c r="K14" s="78"/>
      <c r="L14" s="54">
        <v>544.67600000000004</v>
      </c>
      <c r="M14" s="54"/>
      <c r="N14" s="54"/>
      <c r="O14" s="54"/>
      <c r="P14" s="54"/>
      <c r="Q14" s="180">
        <f t="shared" si="2"/>
        <v>26511.522287535176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214">
        <v>0.57820000000000005</v>
      </c>
      <c r="E15" s="52"/>
      <c r="F15" s="181">
        <f t="shared" si="0"/>
        <v>0.57820000000000005</v>
      </c>
      <c r="G15" s="77">
        <v>0.88100000000000001</v>
      </c>
      <c r="H15" s="77">
        <v>1.0960000000000001</v>
      </c>
      <c r="I15" s="174"/>
      <c r="J15" s="181">
        <f t="shared" si="1"/>
        <v>1.0960000000000001</v>
      </c>
      <c r="K15" s="77">
        <v>0.2964</v>
      </c>
      <c r="L15" s="33"/>
      <c r="M15" s="33"/>
      <c r="N15" s="33">
        <v>1.0999999999999999E-2</v>
      </c>
      <c r="O15" s="33"/>
      <c r="P15" s="33"/>
      <c r="Q15" s="175">
        <f t="shared" si="2"/>
        <v>2.8626000000000005</v>
      </c>
      <c r="R15" s="47"/>
    </row>
    <row r="16" spans="1:18">
      <c r="A16" s="176" t="s">
        <v>0</v>
      </c>
      <c r="B16" s="307"/>
      <c r="C16" s="177" t="s">
        <v>13</v>
      </c>
      <c r="D16" s="216">
        <v>217.52712237182379</v>
      </c>
      <c r="E16" s="60"/>
      <c r="F16" s="178">
        <f t="shared" si="0"/>
        <v>217.52712237182379</v>
      </c>
      <c r="G16" s="78">
        <v>1031.51</v>
      </c>
      <c r="H16" s="78">
        <v>1548.819</v>
      </c>
      <c r="I16" s="179"/>
      <c r="J16" s="178">
        <f t="shared" si="1"/>
        <v>1548.819</v>
      </c>
      <c r="K16" s="78">
        <v>389.27499999999998</v>
      </c>
      <c r="L16" s="54"/>
      <c r="M16" s="54"/>
      <c r="N16" s="54">
        <v>7.1280000000000001</v>
      </c>
      <c r="O16" s="54"/>
      <c r="P16" s="54"/>
      <c r="Q16" s="180">
        <f t="shared" si="2"/>
        <v>3194.2591223718241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214">
        <v>189.62459999999999</v>
      </c>
      <c r="E17" s="52">
        <v>131.50659999999999</v>
      </c>
      <c r="F17" s="181">
        <f t="shared" si="0"/>
        <v>321.13119999999998</v>
      </c>
      <c r="G17" s="77">
        <v>52.291200000000003</v>
      </c>
      <c r="H17" s="77"/>
      <c r="I17" s="174"/>
      <c r="J17" s="181">
        <f t="shared" si="1"/>
        <v>0</v>
      </c>
      <c r="K17" s="77"/>
      <c r="L17" s="33">
        <v>0.20275000000000001</v>
      </c>
      <c r="M17" s="33"/>
      <c r="N17" s="33"/>
      <c r="O17" s="33"/>
      <c r="P17" s="33"/>
      <c r="Q17" s="175">
        <f t="shared" si="2"/>
        <v>373.62514999999996</v>
      </c>
      <c r="R17" s="47"/>
    </row>
    <row r="18" spans="1:18">
      <c r="A18" s="176"/>
      <c r="B18" s="307"/>
      <c r="C18" s="177" t="s">
        <v>13</v>
      </c>
      <c r="D18" s="216">
        <v>269779.03926155664</v>
      </c>
      <c r="E18" s="60">
        <v>174212.429</v>
      </c>
      <c r="F18" s="178">
        <f t="shared" si="0"/>
        <v>443991.46826155664</v>
      </c>
      <c r="G18" s="78">
        <v>60028.758000000002</v>
      </c>
      <c r="H18" s="78"/>
      <c r="I18" s="179"/>
      <c r="J18" s="178">
        <f t="shared" si="1"/>
        <v>0</v>
      </c>
      <c r="K18" s="78"/>
      <c r="L18" s="54">
        <v>359.75200000000001</v>
      </c>
      <c r="M18" s="54"/>
      <c r="N18" s="54"/>
      <c r="O18" s="54"/>
      <c r="P18" s="54"/>
      <c r="Q18" s="180">
        <f t="shared" si="2"/>
        <v>504379.97826155659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214">
        <v>1.8948</v>
      </c>
      <c r="E19" s="52">
        <v>2.3348</v>
      </c>
      <c r="F19" s="181">
        <f t="shared" si="0"/>
        <v>4.2295999999999996</v>
      </c>
      <c r="G19" s="77">
        <v>0.27639999999999998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4.5059999999999993</v>
      </c>
      <c r="R19" s="47"/>
    </row>
    <row r="20" spans="1:18">
      <c r="A20" s="176"/>
      <c r="B20" s="177" t="s">
        <v>28</v>
      </c>
      <c r="C20" s="177" t="s">
        <v>13</v>
      </c>
      <c r="D20" s="216">
        <v>2590.7256282481776</v>
      </c>
      <c r="E20" s="60">
        <v>2760.9409999999998</v>
      </c>
      <c r="F20" s="178">
        <f t="shared" si="0"/>
        <v>5351.6666282481774</v>
      </c>
      <c r="G20" s="78">
        <v>293.94200000000001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5645.6086282481774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214">
        <v>176.4494</v>
      </c>
      <c r="E21" s="52">
        <v>209.1114</v>
      </c>
      <c r="F21" s="181">
        <f t="shared" si="0"/>
        <v>385.56079999999997</v>
      </c>
      <c r="G21" s="77">
        <v>35.7303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421.29109999999997</v>
      </c>
      <c r="R21" s="47"/>
    </row>
    <row r="22" spans="1:18">
      <c r="A22" s="27"/>
      <c r="B22" s="307"/>
      <c r="C22" s="177" t="s">
        <v>13</v>
      </c>
      <c r="D22" s="217">
        <v>56932.264340765352</v>
      </c>
      <c r="E22" s="60">
        <v>71587.002999999997</v>
      </c>
      <c r="F22" s="178">
        <f t="shared" si="0"/>
        <v>128519.26734076535</v>
      </c>
      <c r="G22" s="78">
        <v>13942.642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4"/>
      <c r="Q22" s="180">
        <f t="shared" si="2"/>
        <v>142461.90934076536</v>
      </c>
      <c r="R22" s="47"/>
    </row>
    <row r="23" spans="1:18">
      <c r="A23" s="27"/>
      <c r="B23" s="308" t="s">
        <v>19</v>
      </c>
      <c r="C23" s="48" t="s">
        <v>11</v>
      </c>
      <c r="D23" s="33">
        <f t="shared" ref="D23:E24" si="6">+D13+D15+D17+D19+D21</f>
        <v>371.29919999999998</v>
      </c>
      <c r="E23" s="33">
        <f t="shared" si="6"/>
        <v>348.49349999999998</v>
      </c>
      <c r="F23" s="181">
        <f t="shared" si="0"/>
        <v>719.79269999999997</v>
      </c>
      <c r="G23" s="49">
        <f>+G13+G15+G17+G19+G21</f>
        <v>89.515900000000016</v>
      </c>
      <c r="H23" s="49">
        <f t="shared" ref="H23:H24" si="7">+H13+H15+H17+H19+H21</f>
        <v>1.137</v>
      </c>
      <c r="I23" s="50"/>
      <c r="J23" s="181">
        <f t="shared" si="1"/>
        <v>1.137</v>
      </c>
      <c r="K23" s="49">
        <f t="shared" ref="K23:L24" si="8">+K13+K15+K17+K19+K21</f>
        <v>0.2964</v>
      </c>
      <c r="L23" s="33">
        <f t="shared" si="8"/>
        <v>0.36355000000000004</v>
      </c>
      <c r="M23" s="33"/>
      <c r="N23" s="33">
        <f>+N13+N15+N17+N19+N21</f>
        <v>1.0999999999999999E-2</v>
      </c>
      <c r="O23" s="33"/>
      <c r="P23" s="33"/>
      <c r="Q23" s="175">
        <f t="shared" si="2"/>
        <v>811.11654999999985</v>
      </c>
      <c r="R23" s="47"/>
    </row>
    <row r="24" spans="1:18">
      <c r="A24" s="183"/>
      <c r="B24" s="309"/>
      <c r="C24" s="177" t="s">
        <v>13</v>
      </c>
      <c r="D24" s="54">
        <f t="shared" si="6"/>
        <v>337547.6716404772</v>
      </c>
      <c r="E24" s="54">
        <f t="shared" si="6"/>
        <v>265096.35199999996</v>
      </c>
      <c r="F24" s="178">
        <f t="shared" si="0"/>
        <v>602644.0236404771</v>
      </c>
      <c r="G24" s="68">
        <f>+G14+G16+G18+G20+G22</f>
        <v>76555.694000000003</v>
      </c>
      <c r="H24" s="68">
        <f t="shared" si="7"/>
        <v>1692.729</v>
      </c>
      <c r="I24" s="63"/>
      <c r="J24" s="178">
        <f t="shared" si="1"/>
        <v>1692.729</v>
      </c>
      <c r="K24" s="68">
        <f t="shared" si="8"/>
        <v>389.27499999999998</v>
      </c>
      <c r="L24" s="54">
        <f t="shared" si="8"/>
        <v>904.42800000000011</v>
      </c>
      <c r="M24" s="54"/>
      <c r="N24" s="54">
        <f>+N14+N16+N18+N20+N22</f>
        <v>7.1280000000000001</v>
      </c>
      <c r="O24" s="54"/>
      <c r="P24" s="54"/>
      <c r="Q24" s="180">
        <f t="shared" si="2"/>
        <v>682193.27764047717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214">
        <v>28.757999999999999</v>
      </c>
      <c r="E25" s="52">
        <v>12.625999999999999</v>
      </c>
      <c r="F25" s="181">
        <f t="shared" si="0"/>
        <v>41.384</v>
      </c>
      <c r="G25" s="77">
        <v>316.44439999999997</v>
      </c>
      <c r="H25" s="77"/>
      <c r="I25" s="174"/>
      <c r="J25" s="181">
        <f t="shared" si="1"/>
        <v>0</v>
      </c>
      <c r="K25" s="77">
        <v>5.0999999999999997E-2</v>
      </c>
      <c r="L25" s="33">
        <v>9.6299999999999997E-3</v>
      </c>
      <c r="M25" s="33"/>
      <c r="N25" s="33"/>
      <c r="O25" s="33"/>
      <c r="P25" s="33"/>
      <c r="Q25" s="175">
        <f t="shared" si="2"/>
        <v>357.88902999999999</v>
      </c>
      <c r="R25" s="47"/>
    </row>
    <row r="26" spans="1:18">
      <c r="A26" s="176" t="s">
        <v>31</v>
      </c>
      <c r="B26" s="307"/>
      <c r="C26" s="177" t="s">
        <v>13</v>
      </c>
      <c r="D26" s="217">
        <v>18484.594401548209</v>
      </c>
      <c r="E26" s="60">
        <v>7908.0190000000002</v>
      </c>
      <c r="F26" s="178">
        <f t="shared" si="0"/>
        <v>26392.613401548209</v>
      </c>
      <c r="G26" s="78">
        <v>270571.098</v>
      </c>
      <c r="H26" s="78"/>
      <c r="I26" s="179"/>
      <c r="J26" s="178">
        <f t="shared" si="1"/>
        <v>0</v>
      </c>
      <c r="K26" s="78">
        <v>44.338999999999999</v>
      </c>
      <c r="L26" s="54">
        <v>14.561</v>
      </c>
      <c r="M26" s="54"/>
      <c r="N26" s="54"/>
      <c r="O26" s="54"/>
      <c r="P26" s="54"/>
      <c r="Q26" s="180">
        <f t="shared" si="2"/>
        <v>297022.6114015482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214">
        <v>14.295999999999999</v>
      </c>
      <c r="E27" s="52">
        <v>13.234</v>
      </c>
      <c r="F27" s="181">
        <f t="shared" si="0"/>
        <v>27.53</v>
      </c>
      <c r="G27" s="77">
        <v>9.5167999999999999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37.046800000000005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217">
        <v>5587.5420609241974</v>
      </c>
      <c r="E28" s="53">
        <v>5153.5510000000004</v>
      </c>
      <c r="F28" s="178">
        <f t="shared" si="0"/>
        <v>10741.093060924199</v>
      </c>
      <c r="G28" s="78">
        <v>8122.9210000000003</v>
      </c>
      <c r="H28" s="103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18864.014060924201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f t="shared" ref="D29:E30" si="9">+D25+D27</f>
        <v>43.054000000000002</v>
      </c>
      <c r="E29" s="33">
        <f t="shared" si="9"/>
        <v>25.86</v>
      </c>
      <c r="F29" s="181">
        <f t="shared" si="0"/>
        <v>68.914000000000001</v>
      </c>
      <c r="G29" s="49">
        <f t="shared" ref="G29:G30" si="10">+G25+G27</f>
        <v>325.96119999999996</v>
      </c>
      <c r="H29" s="49"/>
      <c r="I29" s="50"/>
      <c r="J29" s="181">
        <f t="shared" si="1"/>
        <v>0</v>
      </c>
      <c r="K29" s="49">
        <f t="shared" ref="K29:L30" si="11">+K25+K27</f>
        <v>5.0999999999999997E-2</v>
      </c>
      <c r="L29" s="33">
        <f t="shared" si="11"/>
        <v>9.6299999999999997E-3</v>
      </c>
      <c r="M29" s="55"/>
      <c r="N29" s="33"/>
      <c r="O29" s="33"/>
      <c r="P29" s="33"/>
      <c r="Q29" s="175">
        <f t="shared" si="2"/>
        <v>394.93582999999995</v>
      </c>
      <c r="R29" s="47"/>
    </row>
    <row r="30" spans="1:18">
      <c r="A30" s="183"/>
      <c r="B30" s="309"/>
      <c r="C30" s="177" t="s">
        <v>13</v>
      </c>
      <c r="D30" s="54">
        <f t="shared" si="9"/>
        <v>24072.136462472408</v>
      </c>
      <c r="E30" s="54">
        <f t="shared" si="9"/>
        <v>13061.57</v>
      </c>
      <c r="F30" s="178">
        <f t="shared" si="0"/>
        <v>37133.706462472408</v>
      </c>
      <c r="G30" s="68">
        <f t="shared" si="10"/>
        <v>278694.01899999997</v>
      </c>
      <c r="H30" s="68"/>
      <c r="I30" s="63"/>
      <c r="J30" s="178">
        <f t="shared" si="1"/>
        <v>0</v>
      </c>
      <c r="K30" s="68">
        <f t="shared" si="11"/>
        <v>44.338999999999999</v>
      </c>
      <c r="L30" s="54">
        <f t="shared" si="11"/>
        <v>14.561</v>
      </c>
      <c r="M30" s="68"/>
      <c r="N30" s="54"/>
      <c r="O30" s="54"/>
      <c r="P30" s="54"/>
      <c r="Q30" s="180">
        <f t="shared" si="2"/>
        <v>315886.62546247232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214">
        <v>7.7999999999999996E-3</v>
      </c>
      <c r="E31" s="52">
        <v>0.37830000000000003</v>
      </c>
      <c r="F31" s="181">
        <f t="shared" si="0"/>
        <v>0.3861</v>
      </c>
      <c r="G31" s="77">
        <v>4.0119999999999996</v>
      </c>
      <c r="H31" s="77">
        <v>396.74720000000002</v>
      </c>
      <c r="I31" s="174"/>
      <c r="J31" s="181">
        <f t="shared" si="1"/>
        <v>396.74720000000002</v>
      </c>
      <c r="K31" s="77">
        <v>33.351500000000001</v>
      </c>
      <c r="L31" s="33">
        <v>0.52669999999999995</v>
      </c>
      <c r="M31" s="33"/>
      <c r="N31" s="33">
        <v>2.3999999999999998E-3</v>
      </c>
      <c r="O31" s="33"/>
      <c r="P31" s="33"/>
      <c r="Q31" s="175">
        <f t="shared" si="2"/>
        <v>435.02590000000004</v>
      </c>
      <c r="R31" s="47"/>
    </row>
    <row r="32" spans="1:18">
      <c r="A32" s="176" t="s">
        <v>36</v>
      </c>
      <c r="B32" s="307"/>
      <c r="C32" s="177" t="s">
        <v>13</v>
      </c>
      <c r="D32" s="217">
        <v>3.3912000369762123</v>
      </c>
      <c r="E32" s="60">
        <v>191.60400000000001</v>
      </c>
      <c r="F32" s="178">
        <f t="shared" si="0"/>
        <v>194.99520003697623</v>
      </c>
      <c r="G32" s="78">
        <v>1861.5329999999999</v>
      </c>
      <c r="H32" s="78">
        <v>141066.511</v>
      </c>
      <c r="I32" s="179"/>
      <c r="J32" s="178">
        <f t="shared" si="1"/>
        <v>141066.511</v>
      </c>
      <c r="K32" s="78">
        <v>11778.531000000001</v>
      </c>
      <c r="L32" s="54">
        <v>121.03700000000001</v>
      </c>
      <c r="M32" s="54"/>
      <c r="N32" s="54">
        <v>0.77800000000000002</v>
      </c>
      <c r="O32" s="54"/>
      <c r="P32" s="54"/>
      <c r="Q32" s="180">
        <f t="shared" si="2"/>
        <v>155023.38520003695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214">
        <v>7.3000000000000001E-3</v>
      </c>
      <c r="E33" s="52">
        <v>8.9999999999999993E-3</v>
      </c>
      <c r="F33" s="181">
        <f t="shared" si="0"/>
        <v>1.6299999999999999E-2</v>
      </c>
      <c r="G33" s="77">
        <v>0.47</v>
      </c>
      <c r="H33" s="77">
        <v>14.0312</v>
      </c>
      <c r="I33" s="174"/>
      <c r="J33" s="181">
        <f t="shared" si="1"/>
        <v>14.0312</v>
      </c>
      <c r="K33" s="77">
        <v>2.1307999999999998</v>
      </c>
      <c r="L33" s="33">
        <v>0.24959999999999999</v>
      </c>
      <c r="M33" s="33"/>
      <c r="N33" s="33"/>
      <c r="O33" s="33"/>
      <c r="P33" s="33"/>
      <c r="Q33" s="175">
        <f t="shared" si="2"/>
        <v>16.8979</v>
      </c>
      <c r="R33" s="47"/>
    </row>
    <row r="34" spans="1:18">
      <c r="A34" s="176" t="s">
        <v>38</v>
      </c>
      <c r="B34" s="307"/>
      <c r="C34" s="177" t="s">
        <v>13</v>
      </c>
      <c r="D34" s="217">
        <v>3.9420000429819027</v>
      </c>
      <c r="E34" s="60">
        <v>3.8879999999999999</v>
      </c>
      <c r="F34" s="178">
        <f t="shared" si="0"/>
        <v>7.8300000429819026</v>
      </c>
      <c r="G34" s="78">
        <v>231.483</v>
      </c>
      <c r="H34" s="78">
        <v>3868.076</v>
      </c>
      <c r="I34" s="179"/>
      <c r="J34" s="178">
        <f t="shared" si="1"/>
        <v>3868.076</v>
      </c>
      <c r="K34" s="78">
        <v>165.74299999999999</v>
      </c>
      <c r="L34" s="54">
        <v>98.231999999999999</v>
      </c>
      <c r="M34" s="54"/>
      <c r="N34" s="54"/>
      <c r="O34" s="54"/>
      <c r="P34" s="54"/>
      <c r="Q34" s="180">
        <f t="shared" si="2"/>
        <v>4371.3640000429823</v>
      </c>
      <c r="R34" s="47"/>
    </row>
    <row r="35" spans="1:18">
      <c r="A35" s="176"/>
      <c r="B35" s="46" t="s">
        <v>15</v>
      </c>
      <c r="C35" s="48" t="s">
        <v>11</v>
      </c>
      <c r="D35" s="214"/>
      <c r="E35" s="52">
        <v>3.0000000000000001E-3</v>
      </c>
      <c r="F35" s="181">
        <f t="shared" si="0"/>
        <v>3.0000000000000001E-3</v>
      </c>
      <c r="G35" s="77"/>
      <c r="H35" s="77">
        <v>96.921000000000006</v>
      </c>
      <c r="I35" s="174"/>
      <c r="J35" s="181">
        <f t="shared" si="1"/>
        <v>96.921000000000006</v>
      </c>
      <c r="K35" s="77">
        <v>6.2E-2</v>
      </c>
      <c r="L35" s="33"/>
      <c r="M35" s="33"/>
      <c r="N35" s="33">
        <v>0.22459999999999999</v>
      </c>
      <c r="O35" s="33"/>
      <c r="P35" s="33"/>
      <c r="Q35" s="175">
        <f t="shared" si="2"/>
        <v>97.210599999999999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215"/>
      <c r="E36" s="53">
        <v>0.97199999999999998</v>
      </c>
      <c r="F36" s="178">
        <f t="shared" si="0"/>
        <v>0.97199999999999998</v>
      </c>
      <c r="G36" s="78"/>
      <c r="H36" s="78">
        <v>7950.9380000000001</v>
      </c>
      <c r="I36" s="179"/>
      <c r="J36" s="178">
        <f t="shared" si="1"/>
        <v>7950.9380000000001</v>
      </c>
      <c r="K36" s="78">
        <v>3.3479999999999999</v>
      </c>
      <c r="L36" s="54"/>
      <c r="M36" s="54"/>
      <c r="N36" s="54">
        <v>50.155000000000001</v>
      </c>
      <c r="O36" s="54"/>
      <c r="P36" s="54"/>
      <c r="Q36" s="180">
        <f t="shared" si="2"/>
        <v>8005.4129999999996</v>
      </c>
      <c r="R36" s="47"/>
    </row>
    <row r="37" spans="1:18">
      <c r="A37" s="27"/>
      <c r="B37" s="308" t="s">
        <v>19</v>
      </c>
      <c r="C37" s="48" t="s">
        <v>11</v>
      </c>
      <c r="D37" s="33">
        <f>+D31+D33+D35</f>
        <v>1.5099999999999999E-2</v>
      </c>
      <c r="E37" s="33">
        <f t="shared" ref="E37:E38" si="12">+E31+E33+E35</f>
        <v>0.39030000000000004</v>
      </c>
      <c r="F37" s="181">
        <f t="shared" si="0"/>
        <v>0.40540000000000004</v>
      </c>
      <c r="G37" s="49">
        <f t="shared" ref="G37:H38" si="13">+G31+G33+G35</f>
        <v>4.4819999999999993</v>
      </c>
      <c r="H37" s="49">
        <f t="shared" si="13"/>
        <v>507.69940000000003</v>
      </c>
      <c r="I37" s="50"/>
      <c r="J37" s="181">
        <f t="shared" si="1"/>
        <v>507.69940000000003</v>
      </c>
      <c r="K37" s="49">
        <f t="shared" ref="K37:L38" si="14">+K31+K33+K35</f>
        <v>35.5443</v>
      </c>
      <c r="L37" s="33">
        <f t="shared" si="14"/>
        <v>0.77629999999999999</v>
      </c>
      <c r="M37" s="33"/>
      <c r="N37" s="33">
        <f t="shared" ref="N37:N38" si="15">+N31+N33+N35</f>
        <v>0.22700000000000001</v>
      </c>
      <c r="O37" s="33"/>
      <c r="P37" s="33"/>
      <c r="Q37" s="175">
        <f t="shared" si="2"/>
        <v>549.13440000000003</v>
      </c>
      <c r="R37" s="47"/>
    </row>
    <row r="38" spans="1:18">
      <c r="A38" s="183"/>
      <c r="B38" s="309"/>
      <c r="C38" s="177" t="s">
        <v>13</v>
      </c>
      <c r="D38" s="54">
        <f>+D32+D34+D36</f>
        <v>7.3332000799581145</v>
      </c>
      <c r="E38" s="54">
        <f t="shared" si="12"/>
        <v>196.46400000000003</v>
      </c>
      <c r="F38" s="178">
        <f t="shared" si="0"/>
        <v>203.79720007995815</v>
      </c>
      <c r="G38" s="68">
        <f t="shared" si="13"/>
        <v>2093.0160000000001</v>
      </c>
      <c r="H38" s="68">
        <f t="shared" si="13"/>
        <v>152885.52499999999</v>
      </c>
      <c r="I38" s="63"/>
      <c r="J38" s="178">
        <f t="shared" si="1"/>
        <v>152885.52499999999</v>
      </c>
      <c r="K38" s="68">
        <f t="shared" si="14"/>
        <v>11947.622000000001</v>
      </c>
      <c r="L38" s="54">
        <f t="shared" si="14"/>
        <v>219.26900000000001</v>
      </c>
      <c r="M38" s="54"/>
      <c r="N38" s="54">
        <f t="shared" si="15"/>
        <v>50.933</v>
      </c>
      <c r="O38" s="54"/>
      <c r="P38" s="54"/>
      <c r="Q38" s="180">
        <f t="shared" si="2"/>
        <v>167400.16220007994</v>
      </c>
      <c r="R38" s="47"/>
    </row>
    <row r="39" spans="1:18">
      <c r="A39" s="310" t="s">
        <v>40</v>
      </c>
      <c r="B39" s="311"/>
      <c r="C39" s="48" t="s">
        <v>11</v>
      </c>
      <c r="D39" s="214">
        <v>7.0300000000000001E-2</v>
      </c>
      <c r="E39" s="52">
        <v>0.15640000000000001</v>
      </c>
      <c r="F39" s="181">
        <f t="shared" si="0"/>
        <v>0.22670000000000001</v>
      </c>
      <c r="G39" s="77">
        <v>0.47270000000000001</v>
      </c>
      <c r="H39" s="77">
        <v>19.841799999999999</v>
      </c>
      <c r="I39" s="174"/>
      <c r="J39" s="181">
        <f t="shared" si="1"/>
        <v>19.841799999999999</v>
      </c>
      <c r="K39" s="77">
        <v>15.879099999999999</v>
      </c>
      <c r="L39" s="33">
        <v>0.32369999999999999</v>
      </c>
      <c r="M39" s="33"/>
      <c r="N39" s="33">
        <v>0.28510000000000002</v>
      </c>
      <c r="O39" s="33"/>
      <c r="P39" s="33">
        <v>1.2743</v>
      </c>
      <c r="Q39" s="175">
        <f t="shared" si="2"/>
        <v>38.303399999999996</v>
      </c>
      <c r="R39" s="47"/>
    </row>
    <row r="40" spans="1:18">
      <c r="A40" s="312"/>
      <c r="B40" s="313"/>
      <c r="C40" s="177" t="s">
        <v>13</v>
      </c>
      <c r="D40" s="217">
        <v>84.099600916986518</v>
      </c>
      <c r="E40" s="60">
        <v>96.956000000000003</v>
      </c>
      <c r="F40" s="178">
        <f t="shared" si="0"/>
        <v>181.05560091698652</v>
      </c>
      <c r="G40" s="78">
        <v>46.033999999999999</v>
      </c>
      <c r="H40" s="78">
        <v>6563.5690000000004</v>
      </c>
      <c r="I40" s="179"/>
      <c r="J40" s="178">
        <f t="shared" si="1"/>
        <v>6563.5690000000004</v>
      </c>
      <c r="K40" s="78">
        <v>4833.866</v>
      </c>
      <c r="L40" s="54">
        <v>52.121000000000002</v>
      </c>
      <c r="M40" s="54"/>
      <c r="N40" s="54">
        <v>72.241</v>
      </c>
      <c r="O40" s="54"/>
      <c r="P40" s="54">
        <f>327.705*1.08</f>
        <v>353.92140000000001</v>
      </c>
      <c r="Q40" s="180">
        <f t="shared" si="2"/>
        <v>12102.808000916984</v>
      </c>
      <c r="R40" s="47"/>
    </row>
    <row r="41" spans="1:18">
      <c r="A41" s="310" t="s">
        <v>41</v>
      </c>
      <c r="B41" s="311"/>
      <c r="C41" s="48" t="s">
        <v>11</v>
      </c>
      <c r="D41" s="214">
        <v>1.5617000000000001</v>
      </c>
      <c r="E41" s="52">
        <v>4.8399999999999999E-2</v>
      </c>
      <c r="F41" s="181">
        <f t="shared" si="0"/>
        <v>1.6101000000000001</v>
      </c>
      <c r="G41" s="77">
        <v>87.721599999999995</v>
      </c>
      <c r="H41" s="77">
        <v>326.13619999999997</v>
      </c>
      <c r="I41" s="174"/>
      <c r="J41" s="181">
        <f t="shared" si="1"/>
        <v>326.13619999999997</v>
      </c>
      <c r="K41" s="77">
        <v>292.11040000000003</v>
      </c>
      <c r="L41" s="33">
        <v>39.899900000000002</v>
      </c>
      <c r="M41" s="33"/>
      <c r="N41" s="33">
        <v>2.5716999999999999</v>
      </c>
      <c r="O41" s="33"/>
      <c r="P41" s="33">
        <v>0.75660000000000005</v>
      </c>
      <c r="Q41" s="175">
        <f t="shared" si="2"/>
        <v>750.80650000000003</v>
      </c>
      <c r="R41" s="47"/>
    </row>
    <row r="42" spans="1:18">
      <c r="A42" s="312"/>
      <c r="B42" s="313"/>
      <c r="C42" s="177" t="s">
        <v>13</v>
      </c>
      <c r="D42" s="217">
        <v>1676.4840182796731</v>
      </c>
      <c r="E42" s="60">
        <v>53.84</v>
      </c>
      <c r="F42" s="178">
        <f t="shared" si="0"/>
        <v>1730.3240182796731</v>
      </c>
      <c r="G42" s="78">
        <v>15278.146000000001</v>
      </c>
      <c r="H42" s="78">
        <v>66557.417000000001</v>
      </c>
      <c r="I42" s="179"/>
      <c r="J42" s="178">
        <f t="shared" si="1"/>
        <v>66557.417000000001</v>
      </c>
      <c r="K42" s="78">
        <v>40154.659</v>
      </c>
      <c r="L42" s="54">
        <v>2605.6640000000002</v>
      </c>
      <c r="M42" s="54"/>
      <c r="N42" s="54">
        <v>97.989000000000004</v>
      </c>
      <c r="O42" s="54"/>
      <c r="P42" s="54">
        <f>54.505*1.08</f>
        <v>58.865400000000008</v>
      </c>
      <c r="Q42" s="180">
        <f t="shared" si="2"/>
        <v>126483.06441827967</v>
      </c>
      <c r="R42" s="47"/>
    </row>
    <row r="43" spans="1:18">
      <c r="A43" s="310" t="s">
        <v>42</v>
      </c>
      <c r="B43" s="311"/>
      <c r="C43" s="48" t="s">
        <v>11</v>
      </c>
      <c r="D43" s="214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215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214"/>
      <c r="E45" s="52"/>
      <c r="F45" s="181">
        <f t="shared" si="0"/>
        <v>0</v>
      </c>
      <c r="G45" s="77">
        <v>1E-3</v>
      </c>
      <c r="H45" s="77">
        <v>2.3999999999999998E-3</v>
      </c>
      <c r="I45" s="174"/>
      <c r="J45" s="181">
        <f t="shared" si="1"/>
        <v>2.3999999999999998E-3</v>
      </c>
      <c r="K45" s="77"/>
      <c r="L45" s="33"/>
      <c r="M45" s="33"/>
      <c r="N45" s="33"/>
      <c r="O45" s="33"/>
      <c r="P45" s="33"/>
      <c r="Q45" s="175">
        <f t="shared" si="2"/>
        <v>3.3999999999999998E-3</v>
      </c>
      <c r="R45" s="47"/>
    </row>
    <row r="46" spans="1:18">
      <c r="A46" s="312"/>
      <c r="B46" s="313"/>
      <c r="C46" s="177" t="s">
        <v>13</v>
      </c>
      <c r="D46" s="217"/>
      <c r="E46" s="60"/>
      <c r="F46" s="178">
        <f t="shared" si="0"/>
        <v>0</v>
      </c>
      <c r="G46" s="78">
        <v>0.59899999999999998</v>
      </c>
      <c r="H46" s="78">
        <v>3.1320000000000001</v>
      </c>
      <c r="I46" s="179"/>
      <c r="J46" s="178">
        <f t="shared" si="1"/>
        <v>3.1320000000000001</v>
      </c>
      <c r="K46" s="78"/>
      <c r="L46" s="54"/>
      <c r="M46" s="54"/>
      <c r="N46" s="54"/>
      <c r="O46" s="54"/>
      <c r="P46" s="54"/>
      <c r="Q46" s="180">
        <f t="shared" si="2"/>
        <v>3.7309999999999999</v>
      </c>
      <c r="R46" s="47"/>
    </row>
    <row r="47" spans="1:18">
      <c r="A47" s="310" t="s">
        <v>44</v>
      </c>
      <c r="B47" s="311"/>
      <c r="C47" s="48" t="s">
        <v>11</v>
      </c>
      <c r="D47" s="214"/>
      <c r="E47" s="52"/>
      <c r="F47" s="181">
        <f t="shared" si="0"/>
        <v>0</v>
      </c>
      <c r="G47" s="77"/>
      <c r="H47" s="77">
        <v>2.3999999999999998E-3</v>
      </c>
      <c r="I47" s="174"/>
      <c r="J47" s="181">
        <f t="shared" si="1"/>
        <v>2.3999999999999998E-3</v>
      </c>
      <c r="K47" s="77"/>
      <c r="L47" s="33"/>
      <c r="M47" s="33"/>
      <c r="N47" s="33"/>
      <c r="O47" s="33"/>
      <c r="P47" s="33"/>
      <c r="Q47" s="175">
        <f t="shared" si="2"/>
        <v>2.3999999999999998E-3</v>
      </c>
      <c r="R47" s="47"/>
    </row>
    <row r="48" spans="1:18">
      <c r="A48" s="312"/>
      <c r="B48" s="313"/>
      <c r="C48" s="177" t="s">
        <v>13</v>
      </c>
      <c r="D48" s="215"/>
      <c r="E48" s="53"/>
      <c r="F48" s="178">
        <f t="shared" si="0"/>
        <v>0</v>
      </c>
      <c r="G48" s="78"/>
      <c r="H48" s="78">
        <v>1.577</v>
      </c>
      <c r="I48" s="179"/>
      <c r="J48" s="178">
        <f t="shared" si="1"/>
        <v>1.577</v>
      </c>
      <c r="K48" s="78"/>
      <c r="L48" s="54"/>
      <c r="M48" s="54"/>
      <c r="N48" s="54"/>
      <c r="O48" s="54"/>
      <c r="P48" s="54"/>
      <c r="Q48" s="180">
        <f t="shared" si="2"/>
        <v>1.577</v>
      </c>
      <c r="R48" s="47"/>
    </row>
    <row r="49" spans="1:18">
      <c r="A49" s="310" t="s">
        <v>45</v>
      </c>
      <c r="B49" s="311"/>
      <c r="C49" s="48" t="s">
        <v>11</v>
      </c>
      <c r="D49" s="214">
        <v>190.35720000000001</v>
      </c>
      <c r="E49" s="52">
        <v>116.9996</v>
      </c>
      <c r="F49" s="181">
        <f t="shared" si="0"/>
        <v>307.35680000000002</v>
      </c>
      <c r="G49" s="77">
        <v>1002.7623</v>
      </c>
      <c r="H49" s="77">
        <v>6972.6139999999996</v>
      </c>
      <c r="I49" s="174"/>
      <c r="J49" s="181">
        <f t="shared" si="1"/>
        <v>6972.6139999999996</v>
      </c>
      <c r="K49" s="77">
        <v>170.0333</v>
      </c>
      <c r="L49" s="33">
        <v>27.8949</v>
      </c>
      <c r="M49" s="33"/>
      <c r="N49" s="33"/>
      <c r="O49" s="33"/>
      <c r="P49" s="33">
        <v>14.363899999999999</v>
      </c>
      <c r="Q49" s="175">
        <f t="shared" si="2"/>
        <v>8495.0251999999982</v>
      </c>
      <c r="R49" s="47"/>
    </row>
    <row r="50" spans="1:18">
      <c r="A50" s="312"/>
      <c r="B50" s="313"/>
      <c r="C50" s="177" t="s">
        <v>13</v>
      </c>
      <c r="D50" s="217">
        <v>12223.503853279919</v>
      </c>
      <c r="E50" s="60">
        <v>10544.209000000001</v>
      </c>
      <c r="F50" s="178">
        <f t="shared" si="0"/>
        <v>22767.712853279918</v>
      </c>
      <c r="G50" s="78">
        <v>104642.125</v>
      </c>
      <c r="H50" s="78">
        <v>585063.22400000005</v>
      </c>
      <c r="I50" s="179"/>
      <c r="J50" s="178">
        <f t="shared" si="1"/>
        <v>585063.22400000005</v>
      </c>
      <c r="K50" s="78">
        <v>12078.713</v>
      </c>
      <c r="L50" s="54">
        <v>2600.8629999999998</v>
      </c>
      <c r="M50" s="54"/>
      <c r="N50" s="54"/>
      <c r="O50" s="54"/>
      <c r="P50" s="54">
        <f>7345.105*1.08</f>
        <v>7932.7133999999996</v>
      </c>
      <c r="Q50" s="180">
        <f t="shared" si="2"/>
        <v>735085.35125327995</v>
      </c>
      <c r="R50" s="47"/>
    </row>
    <row r="51" spans="1:18">
      <c r="A51" s="310" t="s">
        <v>46</v>
      </c>
      <c r="B51" s="311"/>
      <c r="C51" s="48" t="s">
        <v>11</v>
      </c>
      <c r="D51" s="214">
        <v>9.1999999999999998E-2</v>
      </c>
      <c r="E51" s="52">
        <v>5.3209999999999997</v>
      </c>
      <c r="F51" s="181">
        <f t="shared" si="0"/>
        <v>5.4129999999999994</v>
      </c>
      <c r="G51" s="77">
        <v>10697.348900000001</v>
      </c>
      <c r="H51" s="77">
        <v>1.8320000000000001</v>
      </c>
      <c r="I51" s="174"/>
      <c r="J51" s="181">
        <f t="shared" si="1"/>
        <v>1.8320000000000001</v>
      </c>
      <c r="K51" s="77">
        <v>11442.3969</v>
      </c>
      <c r="L51" s="33">
        <v>0.40400000000000003</v>
      </c>
      <c r="M51" s="33"/>
      <c r="N51" s="33"/>
      <c r="O51" s="33"/>
      <c r="P51" s="33"/>
      <c r="Q51" s="175">
        <f t="shared" si="2"/>
        <v>22147.394799999998</v>
      </c>
      <c r="R51" s="47"/>
    </row>
    <row r="52" spans="1:18">
      <c r="A52" s="312"/>
      <c r="B52" s="313"/>
      <c r="C52" s="177" t="s">
        <v>13</v>
      </c>
      <c r="D52" s="217">
        <v>70.459200768257347</v>
      </c>
      <c r="E52" s="60">
        <v>2019.2470000000001</v>
      </c>
      <c r="F52" s="178">
        <f t="shared" si="0"/>
        <v>2089.7062007682575</v>
      </c>
      <c r="G52" s="78">
        <v>684163.15800000005</v>
      </c>
      <c r="H52" s="78">
        <v>684.68</v>
      </c>
      <c r="I52" s="179"/>
      <c r="J52" s="178">
        <f t="shared" si="1"/>
        <v>684.68</v>
      </c>
      <c r="K52" s="78">
        <v>765395.24600000004</v>
      </c>
      <c r="L52" s="54">
        <v>124.935</v>
      </c>
      <c r="M52" s="54"/>
      <c r="N52" s="54"/>
      <c r="O52" s="54"/>
      <c r="P52" s="54"/>
      <c r="Q52" s="180">
        <f t="shared" si="2"/>
        <v>1452457.7252007686</v>
      </c>
      <c r="R52" s="47"/>
    </row>
    <row r="53" spans="1:18">
      <c r="A53" s="310" t="s">
        <v>47</v>
      </c>
      <c r="B53" s="311"/>
      <c r="C53" s="48" t="s">
        <v>11</v>
      </c>
      <c r="D53" s="214">
        <v>3.5299999999999998E-2</v>
      </c>
      <c r="E53" s="52">
        <v>1.0442</v>
      </c>
      <c r="F53" s="181">
        <f t="shared" si="0"/>
        <v>1.0794999999999999</v>
      </c>
      <c r="G53" s="77">
        <v>581.54499999999996</v>
      </c>
      <c r="H53" s="77">
        <v>556.63940000000002</v>
      </c>
      <c r="I53" s="174"/>
      <c r="J53" s="181">
        <f t="shared" si="1"/>
        <v>556.63940000000002</v>
      </c>
      <c r="K53" s="77">
        <v>93.231499999999997</v>
      </c>
      <c r="L53" s="33">
        <v>607.00260000000003</v>
      </c>
      <c r="M53" s="33"/>
      <c r="N53" s="33">
        <v>107.0108</v>
      </c>
      <c r="O53" s="33"/>
      <c r="P53" s="33">
        <v>2.2100000000000002E-2</v>
      </c>
      <c r="Q53" s="175">
        <f t="shared" si="2"/>
        <v>1946.5309</v>
      </c>
      <c r="R53" s="47"/>
    </row>
    <row r="54" spans="1:18">
      <c r="A54" s="312"/>
      <c r="B54" s="313"/>
      <c r="C54" s="177" t="s">
        <v>13</v>
      </c>
      <c r="D54" s="217">
        <v>29.257200319008149</v>
      </c>
      <c r="E54" s="60">
        <v>482.60199999999998</v>
      </c>
      <c r="F54" s="178">
        <f t="shared" si="0"/>
        <v>511.8592003190081</v>
      </c>
      <c r="G54" s="78">
        <v>255029.71599999999</v>
      </c>
      <c r="H54" s="78">
        <v>268908.44699999999</v>
      </c>
      <c r="I54" s="179"/>
      <c r="J54" s="178">
        <f t="shared" si="1"/>
        <v>268908.44699999999</v>
      </c>
      <c r="K54" s="78">
        <v>45407.987000000001</v>
      </c>
      <c r="L54" s="54">
        <v>284533.76299999998</v>
      </c>
      <c r="M54" s="54"/>
      <c r="N54" s="54">
        <v>47830.326999999997</v>
      </c>
      <c r="O54" s="54"/>
      <c r="P54" s="54">
        <f>1.105*1.08</f>
        <v>1.1934</v>
      </c>
      <c r="Q54" s="180">
        <f t="shared" si="2"/>
        <v>902223.29260031902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214">
        <v>0.78420000000000001</v>
      </c>
      <c r="E55" s="52"/>
      <c r="F55" s="181">
        <f t="shared" si="0"/>
        <v>0.78420000000000001</v>
      </c>
      <c r="G55" s="77">
        <v>1.77E-2</v>
      </c>
      <c r="H55" s="77">
        <v>8.3279999999999994</v>
      </c>
      <c r="I55" s="174"/>
      <c r="J55" s="181">
        <f t="shared" si="1"/>
        <v>8.3279999999999994</v>
      </c>
      <c r="K55" s="77">
        <v>1.7768999999999999</v>
      </c>
      <c r="L55" s="33">
        <v>0.16769999999999999</v>
      </c>
      <c r="M55" s="33"/>
      <c r="N55" s="33">
        <v>0.15290000000000001</v>
      </c>
      <c r="O55" s="33">
        <v>5.0000000000000001E-3</v>
      </c>
      <c r="P55" s="33">
        <v>0.17399999999999999</v>
      </c>
      <c r="Q55" s="175">
        <f t="shared" si="2"/>
        <v>11.4064</v>
      </c>
      <c r="R55" s="47"/>
    </row>
    <row r="56" spans="1:18">
      <c r="A56" s="176" t="s">
        <v>36</v>
      </c>
      <c r="B56" s="307"/>
      <c r="C56" s="177" t="s">
        <v>13</v>
      </c>
      <c r="D56" s="217">
        <v>705.6720076943493</v>
      </c>
      <c r="E56" s="60"/>
      <c r="F56" s="178">
        <f t="shared" si="0"/>
        <v>705.6720076943493</v>
      </c>
      <c r="G56" s="78">
        <v>45.837000000000003</v>
      </c>
      <c r="H56" s="78">
        <v>4652.835</v>
      </c>
      <c r="I56" s="179"/>
      <c r="J56" s="178">
        <f t="shared" si="1"/>
        <v>4652.835</v>
      </c>
      <c r="K56" s="78">
        <v>1230.2070000000001</v>
      </c>
      <c r="L56" s="54">
        <v>183.226</v>
      </c>
      <c r="M56" s="54"/>
      <c r="N56" s="54">
        <v>106.504</v>
      </c>
      <c r="O56" s="54">
        <v>5.2270000000000003</v>
      </c>
      <c r="P56" s="54">
        <f>249.82*1.08</f>
        <v>269.80560000000003</v>
      </c>
      <c r="Q56" s="180">
        <f t="shared" si="2"/>
        <v>7199.3136076943492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214">
        <v>2.2366000000000001</v>
      </c>
      <c r="E57" s="52">
        <v>8.2600000000000007E-2</v>
      </c>
      <c r="F57" s="181">
        <f t="shared" si="0"/>
        <v>2.3192000000000004</v>
      </c>
      <c r="G57" s="77">
        <v>8.6800000000000002E-2</v>
      </c>
      <c r="H57" s="77">
        <v>8.0000000000000004E-4</v>
      </c>
      <c r="I57" s="174"/>
      <c r="J57" s="181">
        <f t="shared" si="1"/>
        <v>8.0000000000000004E-4</v>
      </c>
      <c r="K57" s="77">
        <v>0.53510000000000002</v>
      </c>
      <c r="L57" s="33">
        <v>0.29880000000000001</v>
      </c>
      <c r="M57" s="33"/>
      <c r="N57" s="33"/>
      <c r="O57" s="33">
        <v>1.6000000000000001E-3</v>
      </c>
      <c r="P57" s="33">
        <v>0.98250000000000004</v>
      </c>
      <c r="Q57" s="175">
        <f t="shared" si="2"/>
        <v>4.2248000000000001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217">
        <v>245.20968267366274</v>
      </c>
      <c r="E58" s="60">
        <v>58.32</v>
      </c>
      <c r="F58" s="178">
        <f t="shared" si="0"/>
        <v>303.52968267366276</v>
      </c>
      <c r="G58" s="78">
        <v>79.855999999999995</v>
      </c>
      <c r="H58" s="78">
        <v>2.851</v>
      </c>
      <c r="I58" s="179"/>
      <c r="J58" s="178">
        <f t="shared" si="1"/>
        <v>2.851</v>
      </c>
      <c r="K58" s="78">
        <v>148.00700000000001</v>
      </c>
      <c r="L58" s="54">
        <v>54.110999999999997</v>
      </c>
      <c r="M58" s="54"/>
      <c r="N58" s="54"/>
      <c r="O58" s="54">
        <v>2.5920000000000001</v>
      </c>
      <c r="P58" s="54">
        <f>349.715*1.08</f>
        <v>377.69220000000001</v>
      </c>
      <c r="Q58" s="180">
        <f t="shared" si="2"/>
        <v>968.63888267366269</v>
      </c>
      <c r="R58" s="47"/>
    </row>
    <row r="59" spans="1:18">
      <c r="A59" s="27"/>
      <c r="B59" s="308" t="s">
        <v>19</v>
      </c>
      <c r="C59" s="48" t="s">
        <v>11</v>
      </c>
      <c r="D59" s="33">
        <f t="shared" ref="D59:E60" si="16">+D55+D57</f>
        <v>3.0208000000000004</v>
      </c>
      <c r="E59" s="33">
        <f t="shared" si="16"/>
        <v>8.2600000000000007E-2</v>
      </c>
      <c r="F59" s="181">
        <f t="shared" si="0"/>
        <v>3.1034000000000006</v>
      </c>
      <c r="G59" s="49">
        <f t="shared" ref="G59:H60" si="17">+G55+G57</f>
        <v>0.10450000000000001</v>
      </c>
      <c r="H59" s="49">
        <f t="shared" si="17"/>
        <v>8.3287999999999993</v>
      </c>
      <c r="I59" s="50"/>
      <c r="J59" s="181">
        <f t="shared" si="1"/>
        <v>8.3287999999999993</v>
      </c>
      <c r="K59" s="49">
        <f t="shared" ref="K59:L60" si="18">+K55+K57</f>
        <v>2.3119999999999998</v>
      </c>
      <c r="L59" s="33">
        <f t="shared" si="18"/>
        <v>0.46650000000000003</v>
      </c>
      <c r="M59" s="33"/>
      <c r="N59" s="33">
        <f t="shared" ref="N59:P60" si="19">+N55+N57</f>
        <v>0.15290000000000001</v>
      </c>
      <c r="O59" s="33">
        <f t="shared" si="19"/>
        <v>6.6E-3</v>
      </c>
      <c r="P59" s="33">
        <f t="shared" si="19"/>
        <v>1.1565000000000001</v>
      </c>
      <c r="Q59" s="175">
        <f t="shared" si="2"/>
        <v>15.6312</v>
      </c>
      <c r="R59" s="47"/>
    </row>
    <row r="60" spans="1:18">
      <c r="A60" s="183"/>
      <c r="B60" s="309"/>
      <c r="C60" s="177" t="s">
        <v>13</v>
      </c>
      <c r="D60" s="54">
        <f t="shared" si="16"/>
        <v>950.88169036801207</v>
      </c>
      <c r="E60" s="54">
        <f t="shared" si="16"/>
        <v>58.32</v>
      </c>
      <c r="F60" s="178">
        <f t="shared" si="0"/>
        <v>1009.2016903680121</v>
      </c>
      <c r="G60" s="68">
        <f t="shared" si="17"/>
        <v>125.693</v>
      </c>
      <c r="H60" s="68">
        <f t="shared" si="17"/>
        <v>4655.6859999999997</v>
      </c>
      <c r="I60" s="63"/>
      <c r="J60" s="178">
        <f t="shared" si="1"/>
        <v>4655.6859999999997</v>
      </c>
      <c r="K60" s="68">
        <f t="shared" si="18"/>
        <v>1378.2140000000002</v>
      </c>
      <c r="L60" s="54">
        <f t="shared" si="18"/>
        <v>237.33699999999999</v>
      </c>
      <c r="M60" s="54"/>
      <c r="N60" s="54">
        <f t="shared" si="19"/>
        <v>106.504</v>
      </c>
      <c r="O60" s="54">
        <f t="shared" si="19"/>
        <v>7.8190000000000008</v>
      </c>
      <c r="P60" s="54">
        <f t="shared" si="19"/>
        <v>647.4978000000001</v>
      </c>
      <c r="Q60" s="180">
        <f t="shared" si="2"/>
        <v>8167.9524903680112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214">
        <v>35.3035</v>
      </c>
      <c r="E61" s="52"/>
      <c r="F61" s="181">
        <f t="shared" si="0"/>
        <v>35.3035</v>
      </c>
      <c r="G61" s="77">
        <v>0.10199999999999999</v>
      </c>
      <c r="H61" s="77">
        <v>28.087399999999999</v>
      </c>
      <c r="I61" s="174"/>
      <c r="J61" s="181">
        <f t="shared" si="1"/>
        <v>28.087399999999999</v>
      </c>
      <c r="K61" s="77"/>
      <c r="L61" s="33">
        <v>2.3353000000000002</v>
      </c>
      <c r="M61" s="33"/>
      <c r="N61" s="33"/>
      <c r="O61" s="33"/>
      <c r="P61" s="33"/>
      <c r="Q61" s="175">
        <f t="shared" si="2"/>
        <v>65.828199999999995</v>
      </c>
      <c r="R61" s="47"/>
    </row>
    <row r="62" spans="1:18">
      <c r="A62" s="176" t="s">
        <v>51</v>
      </c>
      <c r="B62" s="307"/>
      <c r="C62" s="177" t="s">
        <v>13</v>
      </c>
      <c r="D62" s="217">
        <v>2863.9764312275888</v>
      </c>
      <c r="E62" s="60"/>
      <c r="F62" s="178">
        <f t="shared" si="0"/>
        <v>2863.9764312275888</v>
      </c>
      <c r="G62" s="78">
        <v>1.7829999999999999</v>
      </c>
      <c r="H62" s="78">
        <v>1251.7619999999999</v>
      </c>
      <c r="I62" s="179"/>
      <c r="J62" s="178">
        <f t="shared" si="1"/>
        <v>1251.7619999999999</v>
      </c>
      <c r="K62" s="78"/>
      <c r="L62" s="54">
        <v>49.305999999999997</v>
      </c>
      <c r="M62" s="54"/>
      <c r="N62" s="54"/>
      <c r="O62" s="54"/>
      <c r="P62" s="54"/>
      <c r="Q62" s="180">
        <f t="shared" si="2"/>
        <v>4166.827431227588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214">
        <v>18.901</v>
      </c>
      <c r="E63" s="52">
        <v>33.9</v>
      </c>
      <c r="F63" s="181">
        <f t="shared" si="0"/>
        <v>52.801000000000002</v>
      </c>
      <c r="G63" s="77">
        <v>241.40199999999999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294.20299999999997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217">
        <v>1454.1876158558473</v>
      </c>
      <c r="E64" s="60">
        <v>2547.1799999999998</v>
      </c>
      <c r="F64" s="178">
        <f t="shared" si="0"/>
        <v>4001.3676158558474</v>
      </c>
      <c r="G64" s="78">
        <v>25333.339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29334.706615855848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214"/>
      <c r="E65" s="52"/>
      <c r="F65" s="181">
        <f t="shared" si="0"/>
        <v>0</v>
      </c>
      <c r="G65" s="77">
        <v>270.90600000000001</v>
      </c>
      <c r="H65" s="77"/>
      <c r="I65" s="174"/>
      <c r="J65" s="181">
        <f t="shared" si="1"/>
        <v>0</v>
      </c>
      <c r="K65" s="77"/>
      <c r="L65" s="33">
        <v>7.0000000000000007E-2</v>
      </c>
      <c r="M65" s="33"/>
      <c r="N65" s="33"/>
      <c r="O65" s="33"/>
      <c r="P65" s="33"/>
      <c r="Q65" s="175">
        <f t="shared" si="2"/>
        <v>270.976</v>
      </c>
      <c r="R65" s="47"/>
    </row>
    <row r="66" spans="1:18">
      <c r="A66" s="176" t="s">
        <v>18</v>
      </c>
      <c r="B66" s="307"/>
      <c r="C66" s="177" t="s">
        <v>13</v>
      </c>
      <c r="D66" s="218"/>
      <c r="E66" s="53"/>
      <c r="F66" s="178">
        <f t="shared" si="0"/>
        <v>0</v>
      </c>
      <c r="G66" s="78">
        <v>25110.305</v>
      </c>
      <c r="H66" s="78"/>
      <c r="I66" s="179"/>
      <c r="J66" s="178">
        <f t="shared" si="1"/>
        <v>0</v>
      </c>
      <c r="K66" s="78"/>
      <c r="L66" s="54">
        <v>1.1339999999999999</v>
      </c>
      <c r="M66" s="54"/>
      <c r="N66" s="54"/>
      <c r="O66" s="54"/>
      <c r="P66" s="54"/>
      <c r="Q66" s="180">
        <f t="shared" si="2"/>
        <v>25111.438999999998</v>
      </c>
      <c r="R66" s="47"/>
    </row>
    <row r="67" spans="1:18">
      <c r="A67" s="27"/>
      <c r="B67" s="46" t="s">
        <v>15</v>
      </c>
      <c r="C67" s="48" t="s">
        <v>11</v>
      </c>
      <c r="D67" s="214">
        <v>0.48199999999999998</v>
      </c>
      <c r="E67" s="52">
        <v>0.06</v>
      </c>
      <c r="F67" s="181">
        <f t="shared" si="0"/>
        <v>0.54200000000000004</v>
      </c>
      <c r="G67" s="77">
        <v>25.6876</v>
      </c>
      <c r="H67" s="77"/>
      <c r="I67" s="174"/>
      <c r="J67" s="181">
        <f t="shared" si="1"/>
        <v>0</v>
      </c>
      <c r="K67" s="77">
        <v>0.33150000000000002</v>
      </c>
      <c r="L67" s="33">
        <v>0.13</v>
      </c>
      <c r="M67" s="33"/>
      <c r="N67" s="33"/>
      <c r="O67" s="33"/>
      <c r="P67" s="33"/>
      <c r="Q67" s="175">
        <f t="shared" si="2"/>
        <v>26.691099999999999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219">
        <v>161.25480175825422</v>
      </c>
      <c r="E68" s="56">
        <v>6.1559999999999997</v>
      </c>
      <c r="F68" s="185">
        <f t="shared" si="0"/>
        <v>167.41080175825422</v>
      </c>
      <c r="G68" s="79">
        <v>3852.9360000000001</v>
      </c>
      <c r="H68" s="79"/>
      <c r="I68" s="186"/>
      <c r="J68" s="185">
        <f t="shared" si="1"/>
        <v>0</v>
      </c>
      <c r="K68" s="79">
        <v>14.311</v>
      </c>
      <c r="L68" s="37">
        <v>2.77</v>
      </c>
      <c r="M68" s="37"/>
      <c r="N68" s="37"/>
      <c r="O68" s="37"/>
      <c r="P68" s="37"/>
      <c r="Q68" s="187">
        <f t="shared" si="2"/>
        <v>4037.4278017582546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112</v>
      </c>
      <c r="C74" s="35"/>
      <c r="D74" s="113"/>
      <c r="E74" s="113"/>
      <c r="F74" s="188"/>
      <c r="G74" s="145"/>
      <c r="H74" s="145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f t="shared" ref="D76:E77" si="20">+D61+D63+D65+D67</f>
        <v>54.686499999999995</v>
      </c>
      <c r="E76" s="33">
        <f t="shared" si="20"/>
        <v>33.96</v>
      </c>
      <c r="F76" s="191">
        <f t="shared" ref="F76:F133" si="21">SUM(D76:E76)</f>
        <v>88.646500000000003</v>
      </c>
      <c r="G76" s="49">
        <f t="shared" ref="G76:H77" si="22">+G61+G63+G65+G67</f>
        <v>538.09759999999994</v>
      </c>
      <c r="H76" s="49">
        <f t="shared" si="22"/>
        <v>28.087399999999999</v>
      </c>
      <c r="I76" s="50"/>
      <c r="J76" s="191">
        <f t="shared" ref="J76:J133" si="23">SUM(H76:I76)</f>
        <v>28.087399999999999</v>
      </c>
      <c r="K76" s="49">
        <f t="shared" ref="K76:L77" si="24">+K61+K63+K65+K67</f>
        <v>0.33150000000000002</v>
      </c>
      <c r="L76" s="33">
        <f t="shared" si="24"/>
        <v>2.5352999999999999</v>
      </c>
      <c r="M76" s="33"/>
      <c r="N76" s="33"/>
      <c r="O76" s="33"/>
      <c r="P76" s="33"/>
      <c r="Q76" s="175">
        <f t="shared" ref="Q76:Q140" si="25">SUM(F76:G76,J76:P76)</f>
        <v>657.6982999999999</v>
      </c>
      <c r="R76" s="27"/>
    </row>
    <row r="77" spans="1:18">
      <c r="A77" s="166" t="s">
        <v>53</v>
      </c>
      <c r="B77" s="309"/>
      <c r="C77" s="192" t="s">
        <v>13</v>
      </c>
      <c r="D77" s="54">
        <f t="shared" si="20"/>
        <v>4479.4188488416903</v>
      </c>
      <c r="E77" s="54">
        <f t="shared" si="20"/>
        <v>2553.3359999999998</v>
      </c>
      <c r="F77" s="193">
        <f t="shared" si="21"/>
        <v>7032.7548488416905</v>
      </c>
      <c r="G77" s="68">
        <f t="shared" si="22"/>
        <v>54298.362999999998</v>
      </c>
      <c r="H77" s="68">
        <f t="shared" si="22"/>
        <v>1251.7619999999999</v>
      </c>
      <c r="I77" s="63"/>
      <c r="J77" s="193">
        <f t="shared" si="23"/>
        <v>1251.7619999999999</v>
      </c>
      <c r="K77" s="68">
        <f t="shared" si="24"/>
        <v>14.311</v>
      </c>
      <c r="L77" s="54">
        <f t="shared" si="24"/>
        <v>53.21</v>
      </c>
      <c r="M77" s="54"/>
      <c r="N77" s="54"/>
      <c r="O77" s="54"/>
      <c r="P77" s="54"/>
      <c r="Q77" s="180">
        <f t="shared" si="25"/>
        <v>62650.400848841695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214">
        <v>1.9673</v>
      </c>
      <c r="E78" s="52">
        <v>3.1957</v>
      </c>
      <c r="F78" s="191">
        <f t="shared" si="21"/>
        <v>5.1630000000000003</v>
      </c>
      <c r="G78" s="77">
        <v>3.7088999999999999</v>
      </c>
      <c r="H78" s="77">
        <v>81.654300000000006</v>
      </c>
      <c r="I78" s="174"/>
      <c r="J78" s="191">
        <f t="shared" si="23"/>
        <v>81.654300000000006</v>
      </c>
      <c r="K78" s="77">
        <v>6.8977000000000004</v>
      </c>
      <c r="L78" s="33">
        <v>3.3</v>
      </c>
      <c r="M78" s="33">
        <v>0.20649999999999999</v>
      </c>
      <c r="N78" s="33">
        <v>14.80894</v>
      </c>
      <c r="O78" s="33">
        <v>0.65439999999999998</v>
      </c>
      <c r="P78" s="33">
        <v>3.0188000000000001</v>
      </c>
      <c r="Q78" s="175">
        <f t="shared" si="25"/>
        <v>119.41253999999999</v>
      </c>
      <c r="R78" s="27"/>
    </row>
    <row r="79" spans="1:18">
      <c r="A79" s="176" t="s">
        <v>31</v>
      </c>
      <c r="B79" s="307"/>
      <c r="C79" s="192" t="s">
        <v>13</v>
      </c>
      <c r="D79" s="217">
        <v>3365.0435166910124</v>
      </c>
      <c r="E79" s="60">
        <v>3413.4090000000001</v>
      </c>
      <c r="F79" s="193">
        <f t="shared" si="21"/>
        <v>6778.4525166910125</v>
      </c>
      <c r="G79" s="78">
        <v>4534.1260000000002</v>
      </c>
      <c r="H79" s="78">
        <v>31750.800999999999</v>
      </c>
      <c r="I79" s="179"/>
      <c r="J79" s="193">
        <f t="shared" si="23"/>
        <v>31750.800999999999</v>
      </c>
      <c r="K79" s="78">
        <v>4616.9920000000002</v>
      </c>
      <c r="L79" s="54">
        <v>4114.7889999999998</v>
      </c>
      <c r="M79" s="54">
        <f>90.629*1.08</f>
        <v>97.879320000000007</v>
      </c>
      <c r="N79" s="54">
        <v>18904.677</v>
      </c>
      <c r="O79" s="54">
        <v>590.52700000000004</v>
      </c>
      <c r="P79" s="54">
        <f>4315.8*1.08</f>
        <v>4661.0640000000003</v>
      </c>
      <c r="Q79" s="180">
        <f t="shared" si="25"/>
        <v>76049.307836691005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214"/>
      <c r="E80" s="52"/>
      <c r="F80" s="191">
        <f t="shared" si="21"/>
        <v>0</v>
      </c>
      <c r="G80" s="77"/>
      <c r="H80" s="77">
        <v>7.0000000000000001E-3</v>
      </c>
      <c r="I80" s="174"/>
      <c r="J80" s="191">
        <f t="shared" si="23"/>
        <v>7.0000000000000001E-3</v>
      </c>
      <c r="K80" s="77">
        <v>3.0000000000000001E-3</v>
      </c>
      <c r="L80" s="33"/>
      <c r="M80" s="33"/>
      <c r="N80" s="33"/>
      <c r="O80" s="33"/>
      <c r="P80" s="33"/>
      <c r="Q80" s="175">
        <f t="shared" si="25"/>
        <v>0.01</v>
      </c>
      <c r="R80" s="27"/>
    </row>
    <row r="81" spans="1:18">
      <c r="A81" s="176" t="s">
        <v>0</v>
      </c>
      <c r="B81" s="307"/>
      <c r="C81" s="192" t="s">
        <v>13</v>
      </c>
      <c r="D81" s="215"/>
      <c r="E81" s="53"/>
      <c r="F81" s="193">
        <f t="shared" si="21"/>
        <v>0</v>
      </c>
      <c r="G81" s="78"/>
      <c r="H81" s="78">
        <v>0.75600000000000001</v>
      </c>
      <c r="I81" s="179"/>
      <c r="J81" s="193">
        <f t="shared" si="23"/>
        <v>0.75600000000000001</v>
      </c>
      <c r="K81" s="78">
        <v>6.5000000000000002E-2</v>
      </c>
      <c r="L81" s="54"/>
      <c r="M81" s="54"/>
      <c r="N81" s="54"/>
      <c r="O81" s="54"/>
      <c r="P81" s="54"/>
      <c r="Q81" s="180">
        <f t="shared" si="25"/>
        <v>0.82099999999999995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214"/>
      <c r="E82" s="52"/>
      <c r="F82" s="191">
        <f t="shared" si="21"/>
        <v>0</v>
      </c>
      <c r="G82" s="77"/>
      <c r="H82" s="77"/>
      <c r="I82" s="174"/>
      <c r="J82" s="191">
        <f t="shared" si="23"/>
        <v>0</v>
      </c>
      <c r="K82" s="77">
        <v>4.0220000000000002</v>
      </c>
      <c r="L82" s="33"/>
      <c r="M82" s="33"/>
      <c r="N82" s="33"/>
      <c r="O82" s="33"/>
      <c r="P82" s="33"/>
      <c r="Q82" s="175">
        <f t="shared" si="25"/>
        <v>4.0220000000000002</v>
      </c>
      <c r="R82" s="27"/>
    </row>
    <row r="83" spans="1:18">
      <c r="A83" s="176"/>
      <c r="B83" s="177" t="s">
        <v>61</v>
      </c>
      <c r="C83" s="192" t="s">
        <v>13</v>
      </c>
      <c r="D83" s="215"/>
      <c r="E83" s="53"/>
      <c r="F83" s="193">
        <f t="shared" si="21"/>
        <v>0</v>
      </c>
      <c r="G83" s="78"/>
      <c r="H83" s="78"/>
      <c r="I83" s="179"/>
      <c r="J83" s="193">
        <f t="shared" si="23"/>
        <v>0</v>
      </c>
      <c r="K83" s="78">
        <v>2958.1010000000001</v>
      </c>
      <c r="L83" s="54"/>
      <c r="M83" s="54"/>
      <c r="N83" s="54"/>
      <c r="O83" s="54"/>
      <c r="P83" s="54"/>
      <c r="Q83" s="180">
        <f t="shared" si="25"/>
        <v>2958.1010000000001</v>
      </c>
      <c r="R83" s="27"/>
    </row>
    <row r="84" spans="1:18">
      <c r="A84" s="176"/>
      <c r="B84" s="306" t="s">
        <v>62</v>
      </c>
      <c r="C84" s="32" t="s">
        <v>11</v>
      </c>
      <c r="D84" s="214"/>
      <c r="E84" s="52"/>
      <c r="F84" s="191">
        <f t="shared" si="21"/>
        <v>0</v>
      </c>
      <c r="G84" s="77"/>
      <c r="H84" s="77"/>
      <c r="I84" s="174"/>
      <c r="J84" s="191">
        <f t="shared" si="23"/>
        <v>0</v>
      </c>
      <c r="K84" s="77"/>
      <c r="L84" s="33"/>
      <c r="M84" s="33"/>
      <c r="N84" s="33"/>
      <c r="O84" s="33"/>
      <c r="P84" s="33"/>
      <c r="Q84" s="175">
        <f t="shared" si="25"/>
        <v>0</v>
      </c>
      <c r="R84" s="27"/>
    </row>
    <row r="85" spans="1:18">
      <c r="A85" s="176" t="s">
        <v>12</v>
      </c>
      <c r="B85" s="307"/>
      <c r="C85" s="192" t="s">
        <v>13</v>
      </c>
      <c r="D85" s="215"/>
      <c r="E85" s="53"/>
      <c r="F85" s="193">
        <f t="shared" si="21"/>
        <v>0</v>
      </c>
      <c r="G85" s="78"/>
      <c r="H85" s="78"/>
      <c r="I85" s="179"/>
      <c r="J85" s="193">
        <f t="shared" si="23"/>
        <v>0</v>
      </c>
      <c r="K85" s="78"/>
      <c r="L85" s="54"/>
      <c r="M85" s="54"/>
      <c r="N85" s="54"/>
      <c r="O85" s="54"/>
      <c r="P85" s="54"/>
      <c r="Q85" s="180">
        <f t="shared" si="25"/>
        <v>0</v>
      </c>
      <c r="R85" s="27"/>
    </row>
    <row r="86" spans="1:18">
      <c r="A86" s="176"/>
      <c r="B86" s="46" t="s">
        <v>15</v>
      </c>
      <c r="C86" s="32" t="s">
        <v>11</v>
      </c>
      <c r="D86" s="214">
        <v>2.7749999999999999</v>
      </c>
      <c r="E86" s="52">
        <v>7.1078000000000001</v>
      </c>
      <c r="F86" s="191">
        <f t="shared" si="21"/>
        <v>9.8827999999999996</v>
      </c>
      <c r="G86" s="77">
        <v>2.3117000000000001</v>
      </c>
      <c r="H86" s="77">
        <v>114.2426</v>
      </c>
      <c r="I86" s="174"/>
      <c r="J86" s="191">
        <f t="shared" si="23"/>
        <v>114.2426</v>
      </c>
      <c r="K86" s="77">
        <v>0.90539999999999998</v>
      </c>
      <c r="L86" s="33">
        <v>1.6339999999999999</v>
      </c>
      <c r="M86" s="33">
        <v>4.0500000000000001E-2</v>
      </c>
      <c r="N86" s="33">
        <v>12.54088</v>
      </c>
      <c r="O86" s="33">
        <v>0.65300000000000002</v>
      </c>
      <c r="P86" s="33">
        <v>0.65659999999999996</v>
      </c>
      <c r="Q86" s="175">
        <f t="shared" si="25"/>
        <v>142.86747999999997</v>
      </c>
      <c r="R86" s="27"/>
    </row>
    <row r="87" spans="1:18">
      <c r="A87" s="176"/>
      <c r="B87" s="177" t="s">
        <v>63</v>
      </c>
      <c r="C87" s="192" t="s">
        <v>13</v>
      </c>
      <c r="D87" s="217">
        <v>2699.5043094342545</v>
      </c>
      <c r="E87" s="60">
        <v>3024.4009999999998</v>
      </c>
      <c r="F87" s="193">
        <f t="shared" si="21"/>
        <v>5723.9053094342544</v>
      </c>
      <c r="G87" s="78">
        <v>1945.655</v>
      </c>
      <c r="H87" s="78">
        <v>36513.781000000003</v>
      </c>
      <c r="I87" s="179"/>
      <c r="J87" s="193">
        <f t="shared" si="23"/>
        <v>36513.781000000003</v>
      </c>
      <c r="K87" s="78">
        <v>418.39499999999998</v>
      </c>
      <c r="L87" s="54">
        <v>1086.3579999999999</v>
      </c>
      <c r="M87" s="54">
        <f>9.23*1.08</f>
        <v>9.9684000000000008</v>
      </c>
      <c r="N87" s="54">
        <v>5573.8890000000001</v>
      </c>
      <c r="O87" s="54">
        <v>525.98699999999997</v>
      </c>
      <c r="P87" s="54">
        <f>488.9*1.08</f>
        <v>528.01200000000006</v>
      </c>
      <c r="Q87" s="180">
        <f t="shared" si="25"/>
        <v>52325.950709434255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f t="shared" ref="D88:E89" si="26">+D78+D80+D82+D84+D86</f>
        <v>4.7423000000000002</v>
      </c>
      <c r="E88" s="33">
        <f t="shared" si="26"/>
        <v>10.3035</v>
      </c>
      <c r="F88" s="191">
        <f t="shared" si="21"/>
        <v>15.0458</v>
      </c>
      <c r="G88" s="49">
        <f t="shared" ref="G88:H89" si="27">+G78+G80+G82+G84+G86</f>
        <v>6.0206</v>
      </c>
      <c r="H88" s="49">
        <f t="shared" si="27"/>
        <v>195.90390000000002</v>
      </c>
      <c r="I88" s="50"/>
      <c r="J88" s="191">
        <f t="shared" si="23"/>
        <v>195.90390000000002</v>
      </c>
      <c r="K88" s="49">
        <f t="shared" ref="K88:P89" si="28">+K78+K80+K82+K84+K86</f>
        <v>11.828100000000001</v>
      </c>
      <c r="L88" s="33">
        <f t="shared" si="28"/>
        <v>4.9339999999999993</v>
      </c>
      <c r="M88" s="33">
        <f t="shared" si="28"/>
        <v>0.247</v>
      </c>
      <c r="N88" s="33">
        <f t="shared" si="28"/>
        <v>27.349820000000001</v>
      </c>
      <c r="O88" s="33">
        <f t="shared" si="28"/>
        <v>1.3073999999999999</v>
      </c>
      <c r="P88" s="33">
        <f t="shared" si="28"/>
        <v>3.6754000000000002</v>
      </c>
      <c r="Q88" s="175">
        <f t="shared" si="25"/>
        <v>266.31202000000002</v>
      </c>
      <c r="R88" s="27"/>
    </row>
    <row r="89" spans="1:18">
      <c r="A89" s="183"/>
      <c r="B89" s="309"/>
      <c r="C89" s="192" t="s">
        <v>13</v>
      </c>
      <c r="D89" s="54">
        <f t="shared" si="26"/>
        <v>6064.5478261252665</v>
      </c>
      <c r="E89" s="54">
        <f t="shared" si="26"/>
        <v>6437.8099999999995</v>
      </c>
      <c r="F89" s="193">
        <f t="shared" si="21"/>
        <v>12502.357826125266</v>
      </c>
      <c r="G89" s="68">
        <f t="shared" si="27"/>
        <v>6479.7809999999999</v>
      </c>
      <c r="H89" s="68">
        <f t="shared" si="27"/>
        <v>68265.338000000003</v>
      </c>
      <c r="I89" s="63"/>
      <c r="J89" s="193">
        <f t="shared" si="23"/>
        <v>68265.338000000003</v>
      </c>
      <c r="K89" s="68">
        <f t="shared" si="28"/>
        <v>7993.5529999999999</v>
      </c>
      <c r="L89" s="54">
        <f t="shared" si="28"/>
        <v>5201.1469999999999</v>
      </c>
      <c r="M89" s="54">
        <f t="shared" si="28"/>
        <v>107.84772000000001</v>
      </c>
      <c r="N89" s="54">
        <f t="shared" si="28"/>
        <v>24478.565999999999</v>
      </c>
      <c r="O89" s="54">
        <f t="shared" si="28"/>
        <v>1116.5140000000001</v>
      </c>
      <c r="P89" s="54">
        <f t="shared" si="28"/>
        <v>5189.076</v>
      </c>
      <c r="Q89" s="180">
        <f t="shared" si="25"/>
        <v>131334.18054612525</v>
      </c>
      <c r="R89" s="27"/>
    </row>
    <row r="90" spans="1:18">
      <c r="A90" s="310" t="s">
        <v>64</v>
      </c>
      <c r="B90" s="311"/>
      <c r="C90" s="32" t="s">
        <v>11</v>
      </c>
      <c r="D90" s="214">
        <v>1.2875000000000001</v>
      </c>
      <c r="E90" s="52">
        <v>2.1179999999999999</v>
      </c>
      <c r="F90" s="191">
        <f t="shared" si="21"/>
        <v>3.4055</v>
      </c>
      <c r="G90" s="77">
        <v>9.5554000000000006</v>
      </c>
      <c r="H90" s="77">
        <v>30.599399999999999</v>
      </c>
      <c r="I90" s="174"/>
      <c r="J90" s="191">
        <f t="shared" si="23"/>
        <v>30.599399999999999</v>
      </c>
      <c r="K90" s="77">
        <v>4.4137000000000004</v>
      </c>
      <c r="L90" s="33">
        <v>5.5772000000000004</v>
      </c>
      <c r="M90" s="33"/>
      <c r="N90" s="33">
        <v>9.0899999999999995E-2</v>
      </c>
      <c r="O90" s="33">
        <v>9.8000000000000004E-2</v>
      </c>
      <c r="P90" s="33">
        <v>1.1418999999999999</v>
      </c>
      <c r="Q90" s="175">
        <f t="shared" si="25"/>
        <v>54.881999999999991</v>
      </c>
      <c r="R90" s="27"/>
    </row>
    <row r="91" spans="1:18">
      <c r="A91" s="312"/>
      <c r="B91" s="313"/>
      <c r="C91" s="192" t="s">
        <v>13</v>
      </c>
      <c r="D91" s="217">
        <v>1181.5146128827359</v>
      </c>
      <c r="E91" s="60">
        <v>2002.2629999999999</v>
      </c>
      <c r="F91" s="193">
        <f t="shared" si="21"/>
        <v>3183.7776128827359</v>
      </c>
      <c r="G91" s="78">
        <v>8539.9740000000002</v>
      </c>
      <c r="H91" s="78">
        <v>21077.780999999999</v>
      </c>
      <c r="I91" s="179"/>
      <c r="J91" s="193">
        <f t="shared" si="23"/>
        <v>21077.780999999999</v>
      </c>
      <c r="K91" s="78">
        <v>3121.3139999999999</v>
      </c>
      <c r="L91" s="54">
        <v>4091.6550000000002</v>
      </c>
      <c r="M91" s="54"/>
      <c r="N91" s="54">
        <v>74.846000000000004</v>
      </c>
      <c r="O91" s="54">
        <v>65.123999999999995</v>
      </c>
      <c r="P91" s="54">
        <f>1007.69*1.08</f>
        <v>1088.3052000000002</v>
      </c>
      <c r="Q91" s="180">
        <f t="shared" si="25"/>
        <v>41242.776812882737</v>
      </c>
      <c r="R91" s="27"/>
    </row>
    <row r="92" spans="1:18">
      <c r="A92" s="310" t="s">
        <v>65</v>
      </c>
      <c r="B92" s="311"/>
      <c r="C92" s="32" t="s">
        <v>11</v>
      </c>
      <c r="D92" s="214"/>
      <c r="E92" s="52"/>
      <c r="F92" s="191">
        <f t="shared" si="21"/>
        <v>0</v>
      </c>
      <c r="G92" s="77"/>
      <c r="H92" s="77"/>
      <c r="I92" s="174"/>
      <c r="J92" s="191">
        <f t="shared" si="23"/>
        <v>0</v>
      </c>
      <c r="K92" s="77"/>
      <c r="L92" s="33">
        <v>0.2</v>
      </c>
      <c r="M92" s="33"/>
      <c r="N92" s="33"/>
      <c r="O92" s="33"/>
      <c r="P92" s="33"/>
      <c r="Q92" s="175">
        <f t="shared" si="25"/>
        <v>0.2</v>
      </c>
      <c r="R92" s="27"/>
    </row>
    <row r="93" spans="1:18">
      <c r="A93" s="312"/>
      <c r="B93" s="313"/>
      <c r="C93" s="192" t="s">
        <v>13</v>
      </c>
      <c r="D93" s="215"/>
      <c r="E93" s="53"/>
      <c r="F93" s="193">
        <f t="shared" si="21"/>
        <v>0</v>
      </c>
      <c r="G93" s="78"/>
      <c r="H93" s="78"/>
      <c r="I93" s="179"/>
      <c r="J93" s="193">
        <f t="shared" si="23"/>
        <v>0</v>
      </c>
      <c r="K93" s="78"/>
      <c r="L93" s="54">
        <v>64.8</v>
      </c>
      <c r="M93" s="54"/>
      <c r="N93" s="54"/>
      <c r="O93" s="54"/>
      <c r="P93" s="54"/>
      <c r="Q93" s="180">
        <f t="shared" si="25"/>
        <v>64.8</v>
      </c>
      <c r="R93" s="27"/>
    </row>
    <row r="94" spans="1:18">
      <c r="A94" s="310" t="s">
        <v>66</v>
      </c>
      <c r="B94" s="311"/>
      <c r="C94" s="32" t="s">
        <v>11</v>
      </c>
      <c r="D94" s="214"/>
      <c r="E94" s="52">
        <v>4.2999999999999997E-2</v>
      </c>
      <c r="F94" s="191">
        <f t="shared" si="21"/>
        <v>4.2999999999999997E-2</v>
      </c>
      <c r="G94" s="77"/>
      <c r="H94" s="77">
        <v>1.8E-3</v>
      </c>
      <c r="I94" s="174"/>
      <c r="J94" s="191">
        <f t="shared" si="23"/>
        <v>1.8E-3</v>
      </c>
      <c r="K94" s="77"/>
      <c r="L94" s="33">
        <v>2.8E-3</v>
      </c>
      <c r="M94" s="33"/>
      <c r="N94" s="33"/>
      <c r="O94" s="33"/>
      <c r="P94" s="33"/>
      <c r="Q94" s="175">
        <f t="shared" si="25"/>
        <v>4.7599999999999996E-2</v>
      </c>
      <c r="R94" s="27"/>
    </row>
    <row r="95" spans="1:18">
      <c r="A95" s="312"/>
      <c r="B95" s="313"/>
      <c r="C95" s="192" t="s">
        <v>13</v>
      </c>
      <c r="D95" s="215"/>
      <c r="E95" s="53">
        <v>12.096</v>
      </c>
      <c r="F95" s="193">
        <f t="shared" si="21"/>
        <v>12.096</v>
      </c>
      <c r="G95" s="78"/>
      <c r="H95" s="78">
        <v>2.851</v>
      </c>
      <c r="I95" s="179"/>
      <c r="J95" s="193">
        <f t="shared" si="23"/>
        <v>2.851</v>
      </c>
      <c r="K95" s="78"/>
      <c r="L95" s="54">
        <v>2.419</v>
      </c>
      <c r="M95" s="54"/>
      <c r="N95" s="54"/>
      <c r="O95" s="54"/>
      <c r="P95" s="54"/>
      <c r="Q95" s="180">
        <f t="shared" si="25"/>
        <v>17.366</v>
      </c>
      <c r="R95" s="27"/>
    </row>
    <row r="96" spans="1:18">
      <c r="A96" s="310" t="s">
        <v>67</v>
      </c>
      <c r="B96" s="311"/>
      <c r="C96" s="32" t="s">
        <v>11</v>
      </c>
      <c r="D96" s="214"/>
      <c r="E96" s="52">
        <v>0.54490000000000005</v>
      </c>
      <c r="F96" s="191">
        <f t="shared" si="21"/>
        <v>0.54490000000000005</v>
      </c>
      <c r="G96" s="77">
        <v>7.1000000000000004E-3</v>
      </c>
      <c r="H96" s="77">
        <v>0.33</v>
      </c>
      <c r="I96" s="174"/>
      <c r="J96" s="191">
        <f t="shared" si="23"/>
        <v>0.33</v>
      </c>
      <c r="K96" s="77"/>
      <c r="L96" s="33"/>
      <c r="M96" s="33"/>
      <c r="N96" s="33"/>
      <c r="O96" s="33"/>
      <c r="P96" s="33"/>
      <c r="Q96" s="175">
        <f t="shared" si="25"/>
        <v>0.88200000000000012</v>
      </c>
      <c r="R96" s="27"/>
    </row>
    <row r="97" spans="1:18">
      <c r="A97" s="312"/>
      <c r="B97" s="313"/>
      <c r="C97" s="192" t="s">
        <v>13</v>
      </c>
      <c r="D97" s="217"/>
      <c r="E97" s="60">
        <v>619.79</v>
      </c>
      <c r="F97" s="193">
        <f t="shared" si="21"/>
        <v>619.79</v>
      </c>
      <c r="G97" s="78">
        <v>10.843999999999999</v>
      </c>
      <c r="H97" s="78">
        <v>509.65199999999999</v>
      </c>
      <c r="I97" s="179"/>
      <c r="J97" s="193">
        <f t="shared" si="23"/>
        <v>509.65199999999999</v>
      </c>
      <c r="K97" s="78"/>
      <c r="L97" s="54"/>
      <c r="M97" s="54"/>
      <c r="N97" s="54"/>
      <c r="O97" s="54"/>
      <c r="P97" s="54"/>
      <c r="Q97" s="180">
        <f t="shared" si="25"/>
        <v>1140.2860000000001</v>
      </c>
      <c r="R97" s="27"/>
    </row>
    <row r="98" spans="1:18">
      <c r="A98" s="310" t="s">
        <v>68</v>
      </c>
      <c r="B98" s="311"/>
      <c r="C98" s="32" t="s">
        <v>11</v>
      </c>
      <c r="D98" s="214"/>
      <c r="E98" s="52"/>
      <c r="F98" s="191">
        <f t="shared" si="21"/>
        <v>0</v>
      </c>
      <c r="G98" s="77">
        <v>0</v>
      </c>
      <c r="H98" s="77"/>
      <c r="I98" s="174"/>
      <c r="J98" s="191">
        <f t="shared" si="23"/>
        <v>0</v>
      </c>
      <c r="K98" s="77">
        <v>2.8E-3</v>
      </c>
      <c r="L98" s="33"/>
      <c r="M98" s="33"/>
      <c r="N98" s="33"/>
      <c r="O98" s="33"/>
      <c r="P98" s="33"/>
      <c r="Q98" s="175">
        <f t="shared" si="25"/>
        <v>2.8E-3</v>
      </c>
      <c r="R98" s="27"/>
    </row>
    <row r="99" spans="1:18">
      <c r="A99" s="312"/>
      <c r="B99" s="313"/>
      <c r="C99" s="192" t="s">
        <v>13</v>
      </c>
      <c r="D99" s="215"/>
      <c r="E99" s="53"/>
      <c r="F99" s="193">
        <f t="shared" si="21"/>
        <v>0</v>
      </c>
      <c r="G99" s="78">
        <v>6.48</v>
      </c>
      <c r="H99" s="78"/>
      <c r="I99" s="179"/>
      <c r="J99" s="193">
        <f t="shared" si="23"/>
        <v>0</v>
      </c>
      <c r="K99" s="78">
        <v>3.629</v>
      </c>
      <c r="L99" s="54"/>
      <c r="M99" s="54"/>
      <c r="N99" s="54"/>
      <c r="O99" s="54"/>
      <c r="P99" s="54"/>
      <c r="Q99" s="180">
        <f t="shared" si="25"/>
        <v>10.109</v>
      </c>
      <c r="R99" s="27"/>
    </row>
    <row r="100" spans="1:18">
      <c r="A100" s="310" t="s">
        <v>69</v>
      </c>
      <c r="B100" s="311"/>
      <c r="C100" s="32" t="s">
        <v>11</v>
      </c>
      <c r="D100" s="214"/>
      <c r="E100" s="52"/>
      <c r="F100" s="191">
        <f t="shared" si="21"/>
        <v>0</v>
      </c>
      <c r="G100" s="77">
        <v>6.4999999999999997E-3</v>
      </c>
      <c r="H100" s="77"/>
      <c r="I100" s="174"/>
      <c r="J100" s="191">
        <f t="shared" si="23"/>
        <v>0</v>
      </c>
      <c r="K100" s="77"/>
      <c r="L100" s="33"/>
      <c r="M100" s="33"/>
      <c r="N100" s="33"/>
      <c r="O100" s="33"/>
      <c r="P100" s="33"/>
      <c r="Q100" s="175">
        <f t="shared" si="25"/>
        <v>6.4999999999999997E-3</v>
      </c>
      <c r="R100" s="27"/>
    </row>
    <row r="101" spans="1:18">
      <c r="A101" s="312"/>
      <c r="B101" s="313"/>
      <c r="C101" s="192" t="s">
        <v>13</v>
      </c>
      <c r="D101" s="217"/>
      <c r="E101" s="60"/>
      <c r="F101" s="193">
        <f t="shared" si="21"/>
        <v>0</v>
      </c>
      <c r="G101" s="78">
        <v>3.51</v>
      </c>
      <c r="H101" s="78"/>
      <c r="I101" s="179"/>
      <c r="J101" s="193">
        <f t="shared" si="23"/>
        <v>0</v>
      </c>
      <c r="K101" s="78"/>
      <c r="L101" s="54"/>
      <c r="M101" s="54"/>
      <c r="N101" s="54"/>
      <c r="O101" s="54"/>
      <c r="P101" s="54"/>
      <c r="Q101" s="180">
        <f t="shared" si="25"/>
        <v>3.51</v>
      </c>
      <c r="R101" s="27"/>
    </row>
    <row r="102" spans="1:18">
      <c r="A102" s="310" t="s">
        <v>70</v>
      </c>
      <c r="B102" s="311"/>
      <c r="C102" s="32" t="s">
        <v>11</v>
      </c>
      <c r="D102" s="214">
        <v>3.8096999999999999</v>
      </c>
      <c r="E102" s="52">
        <v>1045.5651</v>
      </c>
      <c r="F102" s="191">
        <f t="shared" si="21"/>
        <v>1049.3748000000001</v>
      </c>
      <c r="G102" s="77">
        <v>13.3071</v>
      </c>
      <c r="H102" s="77">
        <v>200.1653</v>
      </c>
      <c r="I102" s="174"/>
      <c r="J102" s="191">
        <f t="shared" si="23"/>
        <v>200.1653</v>
      </c>
      <c r="K102" s="77">
        <v>45.961399999999998</v>
      </c>
      <c r="L102" s="33">
        <v>4.8228999999999997</v>
      </c>
      <c r="M102" s="33">
        <v>0.42849999999999999</v>
      </c>
      <c r="N102" s="33">
        <v>14.474500000000001</v>
      </c>
      <c r="O102" s="33">
        <v>2.0043000000000002</v>
      </c>
      <c r="P102" s="33">
        <v>7.1939000000000002</v>
      </c>
      <c r="Q102" s="175">
        <f t="shared" si="25"/>
        <v>1337.7327</v>
      </c>
      <c r="R102" s="27"/>
    </row>
    <row r="103" spans="1:18">
      <c r="A103" s="312"/>
      <c r="B103" s="313"/>
      <c r="C103" s="192" t="s">
        <v>13</v>
      </c>
      <c r="D103" s="217">
        <v>8971.8765378255503</v>
      </c>
      <c r="E103" s="60">
        <v>261580.821</v>
      </c>
      <c r="F103" s="193">
        <f t="shared" si="21"/>
        <v>270552.69753782556</v>
      </c>
      <c r="G103" s="78">
        <v>6808.1750000000002</v>
      </c>
      <c r="H103" s="78">
        <v>48238.856</v>
      </c>
      <c r="I103" s="179"/>
      <c r="J103" s="193">
        <f t="shared" si="23"/>
        <v>48238.856</v>
      </c>
      <c r="K103" s="78">
        <v>16159.300999999999</v>
      </c>
      <c r="L103" s="54">
        <v>2887.3470000000002</v>
      </c>
      <c r="M103" s="54">
        <f>84.583*1.08</f>
        <v>91.349640000000008</v>
      </c>
      <c r="N103" s="54">
        <v>9861.19</v>
      </c>
      <c r="O103" s="54">
        <v>1722.3689999999999</v>
      </c>
      <c r="P103" s="54">
        <f>5939.11*1.08</f>
        <v>6414.2388000000001</v>
      </c>
      <c r="Q103" s="180">
        <f t="shared" si="25"/>
        <v>362735.52397782548</v>
      </c>
      <c r="R103" s="27"/>
    </row>
    <row r="104" spans="1:18">
      <c r="A104" s="314" t="s">
        <v>71</v>
      </c>
      <c r="B104" s="315"/>
      <c r="C104" s="32" t="s">
        <v>11</v>
      </c>
      <c r="D104" s="33">
        <f t="shared" ref="D104:E105" si="29">+D9+D11+D23+D29+D37+D39+D41+D43+D45+D47+D49+D51+D53+D59+D76+D88+D90+D92+D94+D96+D98+D100+D102</f>
        <v>674.6952</v>
      </c>
      <c r="E104" s="33">
        <f t="shared" si="29"/>
        <v>1591.1401000000001</v>
      </c>
      <c r="F104" s="191">
        <f t="shared" si="21"/>
        <v>2265.8353000000002</v>
      </c>
      <c r="G104" s="49">
        <f t="shared" ref="G104:H105" si="30">+G9+G11+G23+G29+G37+G39+G41+G43+G45+G47+G49+G51+G53+G59+G76+G88+G90+G92+G94+G96+G98+G100+G102</f>
        <v>13363.671399999999</v>
      </c>
      <c r="H104" s="49">
        <f t="shared" si="30"/>
        <v>10345.965399999997</v>
      </c>
      <c r="I104" s="50"/>
      <c r="J104" s="191">
        <f t="shared" si="23"/>
        <v>10345.965399999997</v>
      </c>
      <c r="K104" s="49">
        <f t="shared" ref="K104:P105" si="31">+K9+K11+K23+K29+K37+K39+K41+K43+K45+K47+K49+K51+K53+K59+K76+K88+K90+K92+K94+K96+K98+K100+K102</f>
        <v>13444.437899999999</v>
      </c>
      <c r="L104" s="33">
        <f t="shared" si="31"/>
        <v>713.72338000000002</v>
      </c>
      <c r="M104" s="33">
        <f t="shared" si="31"/>
        <v>0.67549999999999999</v>
      </c>
      <c r="N104" s="33">
        <f t="shared" si="31"/>
        <v>152.17372000000003</v>
      </c>
      <c r="O104" s="33">
        <f t="shared" si="31"/>
        <v>3.4163000000000001</v>
      </c>
      <c r="P104" s="33">
        <f t="shared" si="31"/>
        <v>29.584599999999998</v>
      </c>
      <c r="Q104" s="175">
        <f t="shared" si="25"/>
        <v>40319.483499999995</v>
      </c>
      <c r="R104" s="27"/>
    </row>
    <row r="105" spans="1:18">
      <c r="A105" s="316"/>
      <c r="B105" s="317"/>
      <c r="C105" s="192" t="s">
        <v>13</v>
      </c>
      <c r="D105" s="54">
        <f t="shared" si="29"/>
        <v>397422.86149333103</v>
      </c>
      <c r="E105" s="54">
        <f t="shared" si="29"/>
        <v>564836.23099999991</v>
      </c>
      <c r="F105" s="193">
        <f t="shared" si="21"/>
        <v>962259.09249333094</v>
      </c>
      <c r="G105" s="68">
        <f t="shared" si="30"/>
        <v>1494242.0059999998</v>
      </c>
      <c r="H105" s="68">
        <f t="shared" si="30"/>
        <v>1255729.852</v>
      </c>
      <c r="I105" s="63"/>
      <c r="J105" s="193">
        <f t="shared" si="23"/>
        <v>1255729.852</v>
      </c>
      <c r="K105" s="68">
        <f t="shared" si="31"/>
        <v>935370.18399999989</v>
      </c>
      <c r="L105" s="54">
        <f t="shared" si="31"/>
        <v>304066.01300000004</v>
      </c>
      <c r="M105" s="54">
        <f t="shared" si="31"/>
        <v>199.19736</v>
      </c>
      <c r="N105" s="54">
        <f t="shared" si="31"/>
        <v>82579.724000000002</v>
      </c>
      <c r="O105" s="54">
        <f t="shared" si="31"/>
        <v>2911.826</v>
      </c>
      <c r="P105" s="54">
        <f t="shared" si="31"/>
        <v>21685.811400000002</v>
      </c>
      <c r="Q105" s="180">
        <f t="shared" si="25"/>
        <v>5059043.7062533312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214"/>
      <c r="E106" s="52"/>
      <c r="F106" s="191">
        <f t="shared" si="21"/>
        <v>0</v>
      </c>
      <c r="G106" s="77"/>
      <c r="H106" s="77">
        <v>0.47160000000000002</v>
      </c>
      <c r="I106" s="174"/>
      <c r="J106" s="191">
        <f t="shared" si="23"/>
        <v>0.47160000000000002</v>
      </c>
      <c r="K106" s="77">
        <v>2.9899999999999999E-2</v>
      </c>
      <c r="L106" s="33"/>
      <c r="M106" s="33"/>
      <c r="N106" s="33"/>
      <c r="O106" s="33"/>
      <c r="P106" s="33"/>
      <c r="Q106" s="175">
        <f t="shared" si="25"/>
        <v>0.50150000000000006</v>
      </c>
      <c r="R106" s="27"/>
    </row>
    <row r="107" spans="1:18">
      <c r="A107" s="172" t="s">
        <v>0</v>
      </c>
      <c r="B107" s="307"/>
      <c r="C107" s="192" t="s">
        <v>13</v>
      </c>
      <c r="D107" s="215"/>
      <c r="E107" s="53"/>
      <c r="F107" s="193">
        <f t="shared" si="21"/>
        <v>0</v>
      </c>
      <c r="G107" s="78"/>
      <c r="H107" s="78">
        <v>1484.277</v>
      </c>
      <c r="I107" s="179"/>
      <c r="J107" s="193">
        <f t="shared" si="23"/>
        <v>1484.277</v>
      </c>
      <c r="K107" s="78">
        <v>158.42500000000001</v>
      </c>
      <c r="L107" s="54"/>
      <c r="M107" s="54"/>
      <c r="N107" s="54"/>
      <c r="O107" s="54"/>
      <c r="P107" s="54"/>
      <c r="Q107" s="180">
        <f t="shared" si="25"/>
        <v>1642.702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214">
        <v>1.3357000000000001</v>
      </c>
      <c r="E108" s="52">
        <v>0.33189999999999997</v>
      </c>
      <c r="F108" s="191">
        <f t="shared" si="21"/>
        <v>1.6676000000000002</v>
      </c>
      <c r="G108" s="77">
        <v>3.4954000000000001</v>
      </c>
      <c r="H108" s="77">
        <v>21.829799999999999</v>
      </c>
      <c r="I108" s="174"/>
      <c r="J108" s="191">
        <f t="shared" si="23"/>
        <v>21.829799999999999</v>
      </c>
      <c r="K108" s="77">
        <v>1.8431999999999999</v>
      </c>
      <c r="L108" s="33">
        <v>3.0276000000000001</v>
      </c>
      <c r="M108" s="33"/>
      <c r="N108" s="33">
        <v>1.8E-3</v>
      </c>
      <c r="O108" s="33">
        <v>1.2090000000000001</v>
      </c>
      <c r="P108" s="33">
        <v>8.8999999999999996E-2</v>
      </c>
      <c r="Q108" s="175">
        <f t="shared" si="25"/>
        <v>33.163399999999996</v>
      </c>
      <c r="R108" s="27"/>
    </row>
    <row r="109" spans="1:18">
      <c r="A109" s="176" t="s">
        <v>0</v>
      </c>
      <c r="B109" s="307"/>
      <c r="C109" s="192" t="s">
        <v>13</v>
      </c>
      <c r="D109" s="217">
        <v>846.04500922491729</v>
      </c>
      <c r="E109" s="60">
        <v>285.92500000000001</v>
      </c>
      <c r="F109" s="193">
        <f t="shared" si="21"/>
        <v>1131.9700092249172</v>
      </c>
      <c r="G109" s="78">
        <v>2902.0320000000002</v>
      </c>
      <c r="H109" s="78">
        <v>9918.8680000000004</v>
      </c>
      <c r="I109" s="179"/>
      <c r="J109" s="193">
        <f t="shared" si="23"/>
        <v>9918.8680000000004</v>
      </c>
      <c r="K109" s="78">
        <v>1181.3489999999999</v>
      </c>
      <c r="L109" s="54">
        <v>2143.3069999999998</v>
      </c>
      <c r="M109" s="54"/>
      <c r="N109" s="54">
        <v>0.85299999999999998</v>
      </c>
      <c r="O109" s="54">
        <v>938.09900000000005</v>
      </c>
      <c r="P109" s="54">
        <f>53.32*1.08</f>
        <v>57.585600000000007</v>
      </c>
      <c r="Q109" s="180">
        <f t="shared" si="25"/>
        <v>18274.063609224915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214">
        <v>7.7011000000000003</v>
      </c>
      <c r="E110" s="52">
        <v>693.66790000000003</v>
      </c>
      <c r="F110" s="191">
        <f t="shared" si="21"/>
        <v>701.36900000000003</v>
      </c>
      <c r="G110" s="77">
        <v>64.909199999999998</v>
      </c>
      <c r="H110" s="77">
        <v>2000.1578</v>
      </c>
      <c r="I110" s="174"/>
      <c r="J110" s="191">
        <f t="shared" si="23"/>
        <v>2000.1578</v>
      </c>
      <c r="K110" s="77">
        <v>247.32550000000001</v>
      </c>
      <c r="L110" s="33">
        <v>4.5464000000000002</v>
      </c>
      <c r="M110" s="33"/>
      <c r="N110" s="33">
        <v>4.1999999999999997E-3</v>
      </c>
      <c r="O110" s="33"/>
      <c r="P110" s="33"/>
      <c r="Q110" s="175">
        <f t="shared" si="25"/>
        <v>3018.3120999999996</v>
      </c>
      <c r="R110" s="27"/>
    </row>
    <row r="111" spans="1:18">
      <c r="A111" s="176"/>
      <c r="B111" s="307"/>
      <c r="C111" s="192" t="s">
        <v>13</v>
      </c>
      <c r="D111" s="217">
        <v>3156.9372344219096</v>
      </c>
      <c r="E111" s="60">
        <v>144879.13800000001</v>
      </c>
      <c r="F111" s="193">
        <f t="shared" si="21"/>
        <v>148036.07523442191</v>
      </c>
      <c r="G111" s="78">
        <v>25258.357</v>
      </c>
      <c r="H111" s="78">
        <v>447439.14600000001</v>
      </c>
      <c r="I111" s="179"/>
      <c r="J111" s="193">
        <f t="shared" si="23"/>
        <v>447439.14600000001</v>
      </c>
      <c r="K111" s="78">
        <v>50296.368000000002</v>
      </c>
      <c r="L111" s="54">
        <v>1349.547</v>
      </c>
      <c r="M111" s="54"/>
      <c r="N111" s="54">
        <v>0.90700000000000003</v>
      </c>
      <c r="O111" s="54"/>
      <c r="P111" s="54"/>
      <c r="Q111" s="180">
        <f t="shared" si="25"/>
        <v>672380.40023442195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214">
        <v>3.0000000000000001E-3</v>
      </c>
      <c r="E112" s="52">
        <v>0.1212</v>
      </c>
      <c r="F112" s="191">
        <f t="shared" si="21"/>
        <v>0.1242</v>
      </c>
      <c r="G112" s="77">
        <v>1.15E-2</v>
      </c>
      <c r="H112" s="77">
        <v>1.9612000000000001</v>
      </c>
      <c r="I112" s="174"/>
      <c r="J112" s="191">
        <f t="shared" si="23"/>
        <v>1.9612000000000001</v>
      </c>
      <c r="K112" s="77">
        <v>1.1999999999999999E-3</v>
      </c>
      <c r="L112" s="33">
        <v>7.7999999999999996E-3</v>
      </c>
      <c r="M112" s="33"/>
      <c r="N112" s="33"/>
      <c r="O112" s="33"/>
      <c r="P112" s="33">
        <v>0.21310000000000001</v>
      </c>
      <c r="Q112" s="175">
        <f t="shared" si="25"/>
        <v>2.319</v>
      </c>
      <c r="R112" s="27"/>
    </row>
    <row r="113" spans="1:18">
      <c r="A113" s="176"/>
      <c r="B113" s="307"/>
      <c r="C113" s="192" t="s">
        <v>13</v>
      </c>
      <c r="D113" s="218">
        <v>3.8880000423931094</v>
      </c>
      <c r="E113" s="53">
        <v>35.704000000000001</v>
      </c>
      <c r="F113" s="193">
        <f t="shared" si="21"/>
        <v>39.59200004239311</v>
      </c>
      <c r="G113" s="78">
        <v>23.654</v>
      </c>
      <c r="H113" s="78">
        <v>753.81600000000003</v>
      </c>
      <c r="I113" s="179"/>
      <c r="J113" s="193">
        <f t="shared" si="23"/>
        <v>753.81600000000003</v>
      </c>
      <c r="K113" s="78">
        <v>1.296</v>
      </c>
      <c r="L113" s="54">
        <v>5.2329999999999997</v>
      </c>
      <c r="M113" s="54"/>
      <c r="N113" s="54"/>
      <c r="O113" s="54"/>
      <c r="P113" s="54">
        <f>106.55*1.08</f>
        <v>115.074</v>
      </c>
      <c r="Q113" s="180">
        <f t="shared" si="25"/>
        <v>938.6650000423931</v>
      </c>
      <c r="R113" s="27"/>
    </row>
    <row r="114" spans="1:18">
      <c r="A114" s="176"/>
      <c r="B114" s="306" t="s">
        <v>78</v>
      </c>
      <c r="C114" s="32" t="s">
        <v>11</v>
      </c>
      <c r="D114" s="214">
        <v>0.6331</v>
      </c>
      <c r="E114" s="52">
        <v>0.50409999999999999</v>
      </c>
      <c r="F114" s="191">
        <f t="shared" si="21"/>
        <v>1.1372</v>
      </c>
      <c r="G114" s="77">
        <v>0.35270000000000001</v>
      </c>
      <c r="H114" s="77">
        <v>1.0958000000000001</v>
      </c>
      <c r="I114" s="174"/>
      <c r="J114" s="191">
        <f t="shared" si="23"/>
        <v>1.0958000000000001</v>
      </c>
      <c r="K114" s="77">
        <v>9.3600000000000003E-2</v>
      </c>
      <c r="L114" s="33">
        <v>0.25700000000000001</v>
      </c>
      <c r="M114" s="33">
        <v>0.73119999999999996</v>
      </c>
      <c r="N114" s="33">
        <v>5.7819000000000003</v>
      </c>
      <c r="O114" s="33">
        <v>7.4999999999999997E-2</v>
      </c>
      <c r="P114" s="33">
        <v>5.9272999999999998</v>
      </c>
      <c r="Q114" s="175">
        <f t="shared" si="25"/>
        <v>15.451699999999999</v>
      </c>
      <c r="R114" s="27"/>
    </row>
    <row r="115" spans="1:18">
      <c r="A115" s="176"/>
      <c r="B115" s="307"/>
      <c r="C115" s="192" t="s">
        <v>13</v>
      </c>
      <c r="D115" s="217">
        <v>408.45060445357279</v>
      </c>
      <c r="E115" s="60">
        <v>234.399</v>
      </c>
      <c r="F115" s="193">
        <f t="shared" si="21"/>
        <v>642.84960445357274</v>
      </c>
      <c r="G115" s="78">
        <v>289.55500000000001</v>
      </c>
      <c r="H115" s="78">
        <v>1555.6590000000001</v>
      </c>
      <c r="I115" s="179"/>
      <c r="J115" s="193">
        <f t="shared" si="23"/>
        <v>1555.6590000000001</v>
      </c>
      <c r="K115" s="78">
        <v>71.819000000000003</v>
      </c>
      <c r="L115" s="54">
        <v>55.085999999999999</v>
      </c>
      <c r="M115" s="54">
        <f>167.174*1.08</f>
        <v>180.54792</v>
      </c>
      <c r="N115" s="54">
        <v>3916.3910000000001</v>
      </c>
      <c r="O115" s="54">
        <v>16.2</v>
      </c>
      <c r="P115" s="54">
        <f>3786.485*1.08</f>
        <v>4089.4038000000005</v>
      </c>
      <c r="Q115" s="180">
        <f t="shared" si="25"/>
        <v>10817.511324453573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214"/>
      <c r="E116" s="52"/>
      <c r="F116" s="191">
        <f t="shared" si="21"/>
        <v>0</v>
      </c>
      <c r="G116" s="77"/>
      <c r="H116" s="77"/>
      <c r="I116" s="174"/>
      <c r="J116" s="191">
        <f t="shared" si="23"/>
        <v>0</v>
      </c>
      <c r="K116" s="77"/>
      <c r="L116" s="33"/>
      <c r="M116" s="33"/>
      <c r="N116" s="33"/>
      <c r="O116" s="33"/>
      <c r="P116" s="33"/>
      <c r="Q116" s="175">
        <f t="shared" si="25"/>
        <v>0</v>
      </c>
      <c r="R116" s="27"/>
    </row>
    <row r="117" spans="1:18">
      <c r="A117" s="176"/>
      <c r="B117" s="307"/>
      <c r="C117" s="192" t="s">
        <v>13</v>
      </c>
      <c r="D117" s="215"/>
      <c r="E117" s="53"/>
      <c r="F117" s="193">
        <f t="shared" si="21"/>
        <v>0</v>
      </c>
      <c r="G117" s="78"/>
      <c r="H117" s="78"/>
      <c r="I117" s="179"/>
      <c r="J117" s="193">
        <f t="shared" si="23"/>
        <v>0</v>
      </c>
      <c r="K117" s="78"/>
      <c r="L117" s="54"/>
      <c r="M117" s="54"/>
      <c r="N117" s="54"/>
      <c r="O117" s="54"/>
      <c r="P117" s="54"/>
      <c r="Q117" s="180">
        <f t="shared" si="25"/>
        <v>0</v>
      </c>
      <c r="R117" s="27"/>
    </row>
    <row r="118" spans="1:18">
      <c r="A118" s="176"/>
      <c r="B118" s="306" t="s">
        <v>81</v>
      </c>
      <c r="C118" s="32" t="s">
        <v>11</v>
      </c>
      <c r="D118" s="214">
        <v>8.5000000000000006E-3</v>
      </c>
      <c r="E118" s="52">
        <v>5.8500000000000003E-2</v>
      </c>
      <c r="F118" s="191">
        <f t="shared" si="21"/>
        <v>6.7000000000000004E-2</v>
      </c>
      <c r="G118" s="77">
        <v>0.2049</v>
      </c>
      <c r="H118" s="77">
        <v>10.463200000000001</v>
      </c>
      <c r="I118" s="174"/>
      <c r="J118" s="191">
        <f t="shared" si="23"/>
        <v>10.463200000000001</v>
      </c>
      <c r="K118" s="77">
        <v>6.4999999999999997E-3</v>
      </c>
      <c r="L118" s="33"/>
      <c r="M118" s="33"/>
      <c r="N118" s="33"/>
      <c r="O118" s="33"/>
      <c r="P118" s="33">
        <v>0.30570000000000003</v>
      </c>
      <c r="Q118" s="175">
        <f t="shared" si="25"/>
        <v>11.047300000000002</v>
      </c>
      <c r="R118" s="27"/>
    </row>
    <row r="119" spans="1:18">
      <c r="A119" s="176"/>
      <c r="B119" s="307"/>
      <c r="C119" s="192" t="s">
        <v>13</v>
      </c>
      <c r="D119" s="217">
        <v>11.556000126001742</v>
      </c>
      <c r="E119" s="60">
        <v>48.805</v>
      </c>
      <c r="F119" s="193">
        <f t="shared" si="21"/>
        <v>60.361000126001741</v>
      </c>
      <c r="G119" s="78">
        <v>187.60599999999999</v>
      </c>
      <c r="H119" s="78">
        <v>19528.884999999998</v>
      </c>
      <c r="I119" s="179"/>
      <c r="J119" s="193">
        <f t="shared" si="23"/>
        <v>19528.884999999998</v>
      </c>
      <c r="K119" s="78">
        <v>5.9669999999999996</v>
      </c>
      <c r="L119" s="54"/>
      <c r="M119" s="54"/>
      <c r="N119" s="54"/>
      <c r="O119" s="54"/>
      <c r="P119" s="54">
        <f>566.156*1.08</f>
        <v>611.44848000000002</v>
      </c>
      <c r="Q119" s="180">
        <f t="shared" si="25"/>
        <v>20394.267480126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214">
        <v>2.1000000000000001E-2</v>
      </c>
      <c r="E120" s="52">
        <v>1.1160000000000001</v>
      </c>
      <c r="F120" s="191">
        <f t="shared" si="21"/>
        <v>1.137</v>
      </c>
      <c r="G120" s="77"/>
      <c r="H120" s="77">
        <v>1.3079000000000001</v>
      </c>
      <c r="I120" s="174"/>
      <c r="J120" s="191">
        <f t="shared" si="23"/>
        <v>1.3079000000000001</v>
      </c>
      <c r="K120" s="77">
        <v>3.4350000000000001</v>
      </c>
      <c r="L120" s="33"/>
      <c r="M120" s="33"/>
      <c r="N120" s="33"/>
      <c r="O120" s="33"/>
      <c r="P120" s="33"/>
      <c r="Q120" s="175">
        <f t="shared" si="25"/>
        <v>5.8799000000000001</v>
      </c>
      <c r="R120" s="27"/>
    </row>
    <row r="121" spans="1:18">
      <c r="A121" s="176"/>
      <c r="B121" s="307"/>
      <c r="C121" s="192" t="s">
        <v>13</v>
      </c>
      <c r="D121" s="217">
        <v>7.9380000865525977</v>
      </c>
      <c r="E121" s="60">
        <v>482.11200000000002</v>
      </c>
      <c r="F121" s="193">
        <f t="shared" si="21"/>
        <v>490.05000008655264</v>
      </c>
      <c r="G121" s="78"/>
      <c r="H121" s="78">
        <v>2415.864</v>
      </c>
      <c r="I121" s="179"/>
      <c r="J121" s="193">
        <f t="shared" si="23"/>
        <v>2415.864</v>
      </c>
      <c r="K121" s="78">
        <v>247.32</v>
      </c>
      <c r="L121" s="54"/>
      <c r="M121" s="54"/>
      <c r="N121" s="54"/>
      <c r="O121" s="54"/>
      <c r="P121" s="54"/>
      <c r="Q121" s="180">
        <f t="shared" si="25"/>
        <v>3153.2340000865529</v>
      </c>
      <c r="R121" s="27"/>
    </row>
    <row r="122" spans="1:18">
      <c r="A122" s="176"/>
      <c r="B122" s="306" t="s">
        <v>84</v>
      </c>
      <c r="C122" s="32" t="s">
        <v>11</v>
      </c>
      <c r="D122" s="214">
        <v>5.1631999999999998</v>
      </c>
      <c r="E122" s="52">
        <v>0.17499999999999999</v>
      </c>
      <c r="F122" s="191">
        <f t="shared" si="21"/>
        <v>5.3381999999999996</v>
      </c>
      <c r="G122" s="77">
        <v>1.7337</v>
      </c>
      <c r="H122" s="77">
        <v>3.7376999999999998</v>
      </c>
      <c r="I122" s="174"/>
      <c r="J122" s="191">
        <f t="shared" si="23"/>
        <v>3.7376999999999998</v>
      </c>
      <c r="K122" s="77">
        <v>0.04</v>
      </c>
      <c r="L122" s="33">
        <v>1.0834999999999999</v>
      </c>
      <c r="M122" s="33">
        <v>8.3843999999999994</v>
      </c>
      <c r="N122" s="33">
        <v>1.7112000000000001</v>
      </c>
      <c r="O122" s="33"/>
      <c r="P122" s="33">
        <v>6.1999999999999998E-3</v>
      </c>
      <c r="Q122" s="175">
        <f t="shared" si="25"/>
        <v>22.0349</v>
      </c>
      <c r="R122" s="27"/>
    </row>
    <row r="123" spans="1:18">
      <c r="A123" s="176"/>
      <c r="B123" s="307"/>
      <c r="C123" s="192" t="s">
        <v>13</v>
      </c>
      <c r="D123" s="217">
        <v>3592.9926391764729</v>
      </c>
      <c r="E123" s="60">
        <v>107.46</v>
      </c>
      <c r="F123" s="193">
        <f t="shared" si="21"/>
        <v>3700.452639176473</v>
      </c>
      <c r="G123" s="78">
        <v>2411.2109999999998</v>
      </c>
      <c r="H123" s="78">
        <v>2422.0340000000001</v>
      </c>
      <c r="I123" s="179"/>
      <c r="J123" s="193">
        <f t="shared" si="23"/>
        <v>2422.0340000000001</v>
      </c>
      <c r="K123" s="78">
        <v>28.08</v>
      </c>
      <c r="L123" s="54">
        <v>566.24400000000003</v>
      </c>
      <c r="M123" s="54">
        <f>13719.575*1.08</f>
        <v>14817.141000000001</v>
      </c>
      <c r="N123" s="54">
        <v>2798.8330000000001</v>
      </c>
      <c r="O123" s="54"/>
      <c r="P123" s="54">
        <f>4.96*1.08</f>
        <v>5.3568000000000007</v>
      </c>
      <c r="Q123" s="180">
        <f t="shared" si="25"/>
        <v>26749.352439176473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214">
        <v>0.45300000000000001</v>
      </c>
      <c r="E124" s="52">
        <v>2.23E-2</v>
      </c>
      <c r="F124" s="191">
        <f t="shared" si="21"/>
        <v>0.4753</v>
      </c>
      <c r="G124" s="77">
        <v>0.51370000000000005</v>
      </c>
      <c r="H124" s="77">
        <v>3.3146</v>
      </c>
      <c r="I124" s="174"/>
      <c r="J124" s="191">
        <f t="shared" si="23"/>
        <v>3.3146</v>
      </c>
      <c r="K124" s="77">
        <v>0.75</v>
      </c>
      <c r="L124" s="33">
        <v>0.5554</v>
      </c>
      <c r="M124" s="33">
        <v>4.19E-2</v>
      </c>
      <c r="N124" s="33">
        <v>1.3899999999999999E-2</v>
      </c>
      <c r="O124" s="33">
        <v>1.37E-2</v>
      </c>
      <c r="P124" s="33">
        <v>3.1600000000000003E-2</v>
      </c>
      <c r="Q124" s="175">
        <f t="shared" si="25"/>
        <v>5.7100999999999997</v>
      </c>
      <c r="R124" s="27"/>
    </row>
    <row r="125" spans="1:18">
      <c r="A125" s="27"/>
      <c r="B125" s="307"/>
      <c r="C125" s="192" t="s">
        <v>13</v>
      </c>
      <c r="D125" s="217">
        <v>1755.1350191372505</v>
      </c>
      <c r="E125" s="60">
        <v>25.725999999999999</v>
      </c>
      <c r="F125" s="193">
        <f t="shared" si="21"/>
        <v>1780.8610191372504</v>
      </c>
      <c r="G125" s="78">
        <v>261.94200000000001</v>
      </c>
      <c r="H125" s="78">
        <v>12758.217000000001</v>
      </c>
      <c r="I125" s="179"/>
      <c r="J125" s="193">
        <f t="shared" si="23"/>
        <v>12758.217000000001</v>
      </c>
      <c r="K125" s="78">
        <v>315.48</v>
      </c>
      <c r="L125" s="54">
        <v>373.154</v>
      </c>
      <c r="M125" s="54">
        <f>25.212*1.08</f>
        <v>27.228960000000001</v>
      </c>
      <c r="N125" s="54">
        <v>8.3379999999999992</v>
      </c>
      <c r="O125" s="54">
        <v>34.548999999999999</v>
      </c>
      <c r="P125" s="54">
        <f>15.04*1.08</f>
        <v>16.243200000000002</v>
      </c>
      <c r="Q125" s="180">
        <f t="shared" si="25"/>
        <v>15576.013179137253</v>
      </c>
      <c r="R125" s="27"/>
    </row>
    <row r="126" spans="1:18">
      <c r="A126" s="27"/>
      <c r="B126" s="46" t="s">
        <v>15</v>
      </c>
      <c r="C126" s="32" t="s">
        <v>11</v>
      </c>
      <c r="D126" s="214"/>
      <c r="E126" s="52"/>
      <c r="F126" s="191">
        <f t="shared" si="21"/>
        <v>0</v>
      </c>
      <c r="G126" s="77">
        <v>0</v>
      </c>
      <c r="H126" s="77">
        <v>2.8000000000000001E-2</v>
      </c>
      <c r="I126" s="174"/>
      <c r="J126" s="191">
        <f t="shared" si="23"/>
        <v>2.8000000000000001E-2</v>
      </c>
      <c r="K126" s="77"/>
      <c r="L126" s="33"/>
      <c r="M126" s="33"/>
      <c r="N126" s="33"/>
      <c r="O126" s="33"/>
      <c r="P126" s="33"/>
      <c r="Q126" s="175">
        <f t="shared" si="25"/>
        <v>2.8000000000000001E-2</v>
      </c>
      <c r="R126" s="27"/>
    </row>
    <row r="127" spans="1:18">
      <c r="A127" s="27"/>
      <c r="B127" s="177" t="s">
        <v>86</v>
      </c>
      <c r="C127" s="192" t="s">
        <v>13</v>
      </c>
      <c r="D127" s="218"/>
      <c r="E127" s="53"/>
      <c r="F127" s="193">
        <f t="shared" si="21"/>
        <v>0</v>
      </c>
      <c r="G127" s="78">
        <v>0.95</v>
      </c>
      <c r="H127" s="78">
        <v>667.44</v>
      </c>
      <c r="I127" s="179"/>
      <c r="J127" s="193">
        <f t="shared" si="23"/>
        <v>667.44</v>
      </c>
      <c r="K127" s="78"/>
      <c r="L127" s="54"/>
      <c r="M127" s="54"/>
      <c r="N127" s="54"/>
      <c r="O127" s="54"/>
      <c r="P127" s="54"/>
      <c r="Q127" s="180">
        <f t="shared" si="25"/>
        <v>668.3900000000001</v>
      </c>
      <c r="R127" s="27"/>
    </row>
    <row r="128" spans="1:18">
      <c r="A128" s="27"/>
      <c r="B128" s="308" t="s">
        <v>19</v>
      </c>
      <c r="C128" s="32" t="s">
        <v>11</v>
      </c>
      <c r="D128" s="55">
        <f t="shared" ref="D128:E129" si="32">+D106+D108+D110+D112+D114+D116+D118+D120+D122+D124+D126</f>
        <v>15.3186</v>
      </c>
      <c r="E128" s="55">
        <f t="shared" si="32"/>
        <v>695.99689999999998</v>
      </c>
      <c r="F128" s="191">
        <f t="shared" si="21"/>
        <v>711.31549999999993</v>
      </c>
      <c r="G128" s="55">
        <f t="shared" ref="G128:H129" si="33">+G106+G108+G110+G112+G114+G116+G118+G120+G122+G124+G126</f>
        <v>71.221099999999993</v>
      </c>
      <c r="H128" s="55">
        <f t="shared" si="33"/>
        <v>2044.3675999999998</v>
      </c>
      <c r="I128" s="50"/>
      <c r="J128" s="191">
        <f t="shared" si="23"/>
        <v>2044.3675999999998</v>
      </c>
      <c r="K128" s="55">
        <f t="shared" ref="K128:P129" si="34">+K106+K108+K110+K112+K114+K116+K118+K120+K122+K124+K126</f>
        <v>253.5249</v>
      </c>
      <c r="L128" s="55">
        <f t="shared" si="34"/>
        <v>9.4777000000000005</v>
      </c>
      <c r="M128" s="33">
        <f t="shared" si="34"/>
        <v>9.1574999999999989</v>
      </c>
      <c r="N128" s="33">
        <f t="shared" si="34"/>
        <v>7.5129999999999999</v>
      </c>
      <c r="O128" s="55">
        <f t="shared" si="34"/>
        <v>1.2977000000000001</v>
      </c>
      <c r="P128" s="55">
        <f t="shared" si="34"/>
        <v>6.5728999999999997</v>
      </c>
      <c r="Q128" s="175">
        <f t="shared" si="25"/>
        <v>3114.4478999999997</v>
      </c>
      <c r="R128" s="27"/>
    </row>
    <row r="129" spans="1:18">
      <c r="A129" s="183"/>
      <c r="B129" s="309"/>
      <c r="C129" s="192" t="s">
        <v>13</v>
      </c>
      <c r="D129" s="54">
        <f t="shared" si="32"/>
        <v>9782.942506669071</v>
      </c>
      <c r="E129" s="54">
        <f t="shared" si="32"/>
        <v>146099.26899999997</v>
      </c>
      <c r="F129" s="193">
        <f t="shared" si="21"/>
        <v>155882.21150666903</v>
      </c>
      <c r="G129" s="68">
        <f t="shared" si="33"/>
        <v>31335.306999999997</v>
      </c>
      <c r="H129" s="68">
        <f t="shared" si="33"/>
        <v>498944.20600000001</v>
      </c>
      <c r="I129" s="63"/>
      <c r="J129" s="193">
        <f t="shared" si="23"/>
        <v>498944.20600000001</v>
      </c>
      <c r="K129" s="68">
        <f t="shared" si="34"/>
        <v>52306.104000000007</v>
      </c>
      <c r="L129" s="54">
        <f t="shared" si="34"/>
        <v>4492.5709999999999</v>
      </c>
      <c r="M129" s="54">
        <f t="shared" si="34"/>
        <v>15024.917880000003</v>
      </c>
      <c r="N129" s="54">
        <f t="shared" si="34"/>
        <v>6725.3220000000001</v>
      </c>
      <c r="O129" s="54">
        <f t="shared" si="34"/>
        <v>988.84800000000007</v>
      </c>
      <c r="P129" s="54">
        <f t="shared" si="34"/>
        <v>4895.1118800000004</v>
      </c>
      <c r="Q129" s="180">
        <f t="shared" si="25"/>
        <v>770594.59926666901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214"/>
      <c r="E130" s="52"/>
      <c r="F130" s="191">
        <f t="shared" si="21"/>
        <v>0</v>
      </c>
      <c r="G130" s="77"/>
      <c r="H130" s="77"/>
      <c r="I130" s="174"/>
      <c r="J130" s="191">
        <f t="shared" si="23"/>
        <v>0</v>
      </c>
      <c r="K130" s="77"/>
      <c r="L130" s="33"/>
      <c r="M130" s="33"/>
      <c r="N130" s="33"/>
      <c r="O130" s="33"/>
      <c r="P130" s="33"/>
      <c r="Q130" s="175">
        <f t="shared" si="25"/>
        <v>0</v>
      </c>
      <c r="R130" s="27"/>
    </row>
    <row r="131" spans="1:18">
      <c r="A131" s="172" t="s">
        <v>0</v>
      </c>
      <c r="B131" s="307"/>
      <c r="C131" s="192" t="s">
        <v>13</v>
      </c>
      <c r="D131" s="215"/>
      <c r="E131" s="53"/>
      <c r="F131" s="193">
        <f t="shared" si="21"/>
        <v>0</v>
      </c>
      <c r="G131" s="78"/>
      <c r="H131" s="78"/>
      <c r="I131" s="179"/>
      <c r="J131" s="193">
        <f t="shared" si="23"/>
        <v>0</v>
      </c>
      <c r="K131" s="78"/>
      <c r="L131" s="54"/>
      <c r="M131" s="54"/>
      <c r="N131" s="54"/>
      <c r="O131" s="54"/>
      <c r="P131" s="54"/>
      <c r="Q131" s="180">
        <f t="shared" si="2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214"/>
      <c r="E132" s="52"/>
      <c r="F132" s="191">
        <f t="shared" si="21"/>
        <v>0</v>
      </c>
      <c r="G132" s="77">
        <v>0.13750000000000001</v>
      </c>
      <c r="H132" s="77"/>
      <c r="I132" s="174"/>
      <c r="J132" s="191">
        <f t="shared" si="23"/>
        <v>0</v>
      </c>
      <c r="K132" s="77"/>
      <c r="L132" s="33"/>
      <c r="M132" s="33"/>
      <c r="N132" s="33"/>
      <c r="O132" s="33"/>
      <c r="P132" s="33"/>
      <c r="Q132" s="175">
        <f t="shared" si="25"/>
        <v>0.13750000000000001</v>
      </c>
      <c r="R132" s="27"/>
    </row>
    <row r="133" spans="1:18">
      <c r="A133" s="176"/>
      <c r="B133" s="307"/>
      <c r="C133" s="192" t="s">
        <v>13</v>
      </c>
      <c r="D133" s="215"/>
      <c r="E133" s="53"/>
      <c r="F133" s="193">
        <f t="shared" si="21"/>
        <v>0</v>
      </c>
      <c r="G133" s="78">
        <v>77.067999999999998</v>
      </c>
      <c r="H133" s="78"/>
      <c r="I133" s="179"/>
      <c r="J133" s="193">
        <f t="shared" si="23"/>
        <v>0</v>
      </c>
      <c r="K133" s="78"/>
      <c r="L133" s="54"/>
      <c r="M133" s="54"/>
      <c r="N133" s="54"/>
      <c r="O133" s="54"/>
      <c r="P133" s="54"/>
      <c r="Q133" s="197">
        <f t="shared" si="25"/>
        <v>77.067999999999998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220"/>
      <c r="E134" s="115"/>
      <c r="F134" s="199">
        <f t="shared" ref="F134:F142" si="35">SUM(D134:E134)</f>
        <v>0</v>
      </c>
      <c r="G134" s="139"/>
      <c r="H134" s="139">
        <v>1.6141000000000001</v>
      </c>
      <c r="I134" s="200"/>
      <c r="J134" s="199">
        <f t="shared" ref="J134:J142" si="36">SUM(H134:I134)</f>
        <v>1.6141000000000001</v>
      </c>
      <c r="K134" s="139"/>
      <c r="L134" s="93"/>
      <c r="M134" s="93"/>
      <c r="N134" s="93"/>
      <c r="O134" s="93"/>
      <c r="P134" s="93"/>
      <c r="Q134" s="175">
        <f t="shared" si="25"/>
        <v>1.6141000000000001</v>
      </c>
      <c r="R134" s="27"/>
    </row>
    <row r="135" spans="1:18">
      <c r="A135" s="176"/>
      <c r="B135" s="46" t="s">
        <v>91</v>
      </c>
      <c r="C135" s="32" t="s">
        <v>92</v>
      </c>
      <c r="D135" s="214"/>
      <c r="E135" s="52"/>
      <c r="F135" s="201">
        <f t="shared" si="35"/>
        <v>0</v>
      </c>
      <c r="G135" s="77"/>
      <c r="H135" s="77"/>
      <c r="I135" s="174"/>
      <c r="J135" s="201">
        <f t="shared" si="36"/>
        <v>0</v>
      </c>
      <c r="K135" s="77"/>
      <c r="L135" s="33"/>
      <c r="M135" s="49"/>
      <c r="N135" s="161"/>
      <c r="O135" s="33"/>
      <c r="P135" s="161"/>
      <c r="Q135" s="175">
        <f t="shared" si="25"/>
        <v>0</v>
      </c>
      <c r="R135" s="27"/>
    </row>
    <row r="136" spans="1:18">
      <c r="A136" s="176" t="s">
        <v>18</v>
      </c>
      <c r="B136" s="54"/>
      <c r="C136" s="192" t="s">
        <v>13</v>
      </c>
      <c r="D136" s="217"/>
      <c r="E136" s="53"/>
      <c r="F136" s="202">
        <f t="shared" si="35"/>
        <v>0</v>
      </c>
      <c r="G136" s="78"/>
      <c r="H136" s="103">
        <v>320.31700000000001</v>
      </c>
      <c r="I136" s="179"/>
      <c r="J136" s="202">
        <f t="shared" si="36"/>
        <v>320.31700000000001</v>
      </c>
      <c r="K136" s="103"/>
      <c r="L136" s="54"/>
      <c r="M136" s="92"/>
      <c r="N136" s="54"/>
      <c r="O136" s="54"/>
      <c r="P136" s="54"/>
      <c r="Q136" s="197">
        <f t="shared" si="25"/>
        <v>320.31700000000001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35"/>
        <v>0</v>
      </c>
      <c r="G137" s="49">
        <f>+G130+G132+G134</f>
        <v>0.13750000000000001</v>
      </c>
      <c r="H137" s="49">
        <f t="shared" ref="H137" si="37">+H130+H132+H134</f>
        <v>1.6141000000000001</v>
      </c>
      <c r="I137" s="47"/>
      <c r="J137" s="199">
        <f t="shared" si="36"/>
        <v>1.6141000000000001</v>
      </c>
      <c r="K137" s="49"/>
      <c r="L137" s="33"/>
      <c r="M137" s="97"/>
      <c r="N137" s="160"/>
      <c r="O137" s="93"/>
      <c r="P137" s="93"/>
      <c r="Q137" s="175">
        <f t="shared" si="25"/>
        <v>1.7516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35"/>
        <v>0</v>
      </c>
      <c r="G138" s="98"/>
      <c r="H138" s="49"/>
      <c r="I138" s="50"/>
      <c r="J138" s="201">
        <f t="shared" si="36"/>
        <v>0</v>
      </c>
      <c r="K138" s="49"/>
      <c r="L138" s="33"/>
      <c r="M138" s="69"/>
      <c r="N138" s="69"/>
      <c r="O138" s="33"/>
      <c r="P138" s="33"/>
      <c r="Q138" s="175">
        <f t="shared" si="2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35"/>
        <v>0</v>
      </c>
      <c r="G139" s="68">
        <f>+G131+G133+G136</f>
        <v>77.067999999999998</v>
      </c>
      <c r="H139" s="68">
        <f t="shared" ref="H139" si="38">+H131+H133+H136</f>
        <v>320.31700000000001</v>
      </c>
      <c r="I139" s="63"/>
      <c r="J139" s="202">
        <f t="shared" si="36"/>
        <v>320.31700000000001</v>
      </c>
      <c r="K139" s="68"/>
      <c r="L139" s="54"/>
      <c r="M139" s="70"/>
      <c r="N139" s="70"/>
      <c r="O139" s="54"/>
      <c r="P139" s="54"/>
      <c r="Q139" s="197">
        <f t="shared" si="25"/>
        <v>397.38499999999999</v>
      </c>
      <c r="R139" s="27"/>
    </row>
    <row r="140" spans="1:18">
      <c r="A140" s="27"/>
      <c r="B140" s="28" t="s">
        <v>0</v>
      </c>
      <c r="C140" s="29" t="s">
        <v>11</v>
      </c>
      <c r="D140" s="125">
        <f t="shared" ref="D140:E140" si="39">D137+D128+D104</f>
        <v>690.01379999999995</v>
      </c>
      <c r="E140" s="127">
        <f t="shared" si="39"/>
        <v>2287.1370000000002</v>
      </c>
      <c r="F140" s="199">
        <f t="shared" si="35"/>
        <v>2977.1508000000003</v>
      </c>
      <c r="G140" s="147">
        <f t="shared" ref="G140:H140" si="40">G137+G128+G104</f>
        <v>13435.029999999999</v>
      </c>
      <c r="H140" s="152">
        <f t="shared" si="40"/>
        <v>12391.947099999998</v>
      </c>
      <c r="I140" s="57"/>
      <c r="J140" s="199">
        <f t="shared" si="36"/>
        <v>12391.947099999998</v>
      </c>
      <c r="K140" s="155">
        <f>K137+K128+K104</f>
        <v>13697.962799999999</v>
      </c>
      <c r="L140" s="93">
        <f t="shared" ref="L140:M140" si="41">L137+L128+L104</f>
        <v>723.20108000000005</v>
      </c>
      <c r="M140" s="97">
        <f t="shared" si="41"/>
        <v>9.8329999999999984</v>
      </c>
      <c r="N140" s="97">
        <f>N137+N128+N104</f>
        <v>159.68672000000004</v>
      </c>
      <c r="O140" s="93">
        <f>O137+O128+O104</f>
        <v>4.7140000000000004</v>
      </c>
      <c r="P140" s="93">
        <f>P137+P128+P104</f>
        <v>36.157499999999999</v>
      </c>
      <c r="Q140" s="175">
        <f t="shared" si="25"/>
        <v>43435.68299999999</v>
      </c>
      <c r="R140" s="27"/>
    </row>
    <row r="141" spans="1:18">
      <c r="A141" s="27"/>
      <c r="B141" s="31" t="s">
        <v>93</v>
      </c>
      <c r="C141" s="32" t="s">
        <v>92</v>
      </c>
      <c r="D141" s="221"/>
      <c r="E141" s="110"/>
      <c r="F141" s="201">
        <f t="shared" si="35"/>
        <v>0</v>
      </c>
      <c r="G141" s="148"/>
      <c r="H141" s="144"/>
      <c r="I141" s="206"/>
      <c r="J141" s="201">
        <f t="shared" si="36"/>
        <v>0</v>
      </c>
      <c r="K141" s="148"/>
      <c r="L141" s="33"/>
      <c r="M141" s="69"/>
      <c r="N141" s="69"/>
      <c r="O141" s="33"/>
      <c r="P141" s="33"/>
      <c r="Q141" s="175">
        <f t="shared" ref="Q141:Q142" si="42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222">
        <f t="shared" ref="D142:E142" si="43">D139+D129+D105</f>
        <v>407205.80400000012</v>
      </c>
      <c r="E142" s="118">
        <f t="shared" si="43"/>
        <v>710935.49999999988</v>
      </c>
      <c r="F142" s="207">
        <f t="shared" si="35"/>
        <v>1118141.304</v>
      </c>
      <c r="G142" s="149">
        <f t="shared" ref="G142:H142" si="44">G139+G129+G105</f>
        <v>1525654.3809999998</v>
      </c>
      <c r="H142" s="154">
        <f t="shared" si="44"/>
        <v>1754994.375</v>
      </c>
      <c r="I142" s="58"/>
      <c r="J142" s="207">
        <f t="shared" si="36"/>
        <v>1754994.375</v>
      </c>
      <c r="K142" s="149">
        <f>K139+K129+K105</f>
        <v>987676.28799999994</v>
      </c>
      <c r="L142" s="37">
        <f t="shared" ref="L142:M142" si="45">L139+L129+L105</f>
        <v>308558.58400000003</v>
      </c>
      <c r="M142" s="71">
        <f t="shared" si="45"/>
        <v>15224.115240000003</v>
      </c>
      <c r="N142" s="71">
        <f>N139+N129+N105</f>
        <v>89305.046000000002</v>
      </c>
      <c r="O142" s="37">
        <f>O139+O129+O105</f>
        <v>3900.674</v>
      </c>
      <c r="P142" s="37">
        <f>P139+P129+P105</f>
        <v>26580.923280000003</v>
      </c>
      <c r="Q142" s="187">
        <f t="shared" si="42"/>
        <v>5830035.6905199988</v>
      </c>
      <c r="R142" s="27"/>
    </row>
    <row r="143" spans="1:18">
      <c r="Q143" s="208" t="s">
        <v>94</v>
      </c>
    </row>
    <row r="150" spans="16:16">
      <c r="P150" s="47"/>
    </row>
    <row r="151" spans="16:16">
      <c r="P151" s="47"/>
    </row>
    <row r="152" spans="16:16">
      <c r="P152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opLeftCell="A118" zoomScale="40" zoomScaleNormal="40" workbookViewId="0">
      <selection activeCell="J77" sqref="J77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113</v>
      </c>
      <c r="C3" s="35"/>
      <c r="D3" s="35"/>
      <c r="E3" s="35"/>
      <c r="F3" s="35"/>
      <c r="G3" s="35"/>
      <c r="H3" s="35"/>
      <c r="I3" s="35"/>
      <c r="J3" s="35"/>
      <c r="K3" s="47"/>
      <c r="L3" s="35"/>
      <c r="M3" s="35"/>
      <c r="N3" s="35"/>
      <c r="O3" s="35"/>
      <c r="P3" s="35" t="s">
        <v>117</v>
      </c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34.3386</v>
      </c>
      <c r="H5" s="77">
        <v>1104.5111999999999</v>
      </c>
      <c r="I5" s="174"/>
      <c r="J5" s="173">
        <f>SUM(H5:I5)</f>
        <v>1104.5111999999999</v>
      </c>
      <c r="K5" s="77">
        <v>942.11180000000002</v>
      </c>
      <c r="L5" s="33">
        <v>19.439800000000002</v>
      </c>
      <c r="M5" s="33"/>
      <c r="N5" s="33"/>
      <c r="O5" s="33"/>
      <c r="P5" s="33"/>
      <c r="Q5" s="175">
        <f>SUM(F5:G5,J5:P5)</f>
        <v>2100.4014000000002</v>
      </c>
      <c r="R5" s="47"/>
    </row>
    <row r="6" spans="1:18">
      <c r="A6" s="176" t="s">
        <v>12</v>
      </c>
      <c r="B6" s="307"/>
      <c r="C6" s="177" t="s">
        <v>13</v>
      </c>
      <c r="D6" s="209"/>
      <c r="E6" s="53"/>
      <c r="F6" s="178">
        <f>SUM(D6:E6)</f>
        <v>0</v>
      </c>
      <c r="G6" s="78">
        <v>1006.679</v>
      </c>
      <c r="H6" s="78">
        <v>37870.107000000004</v>
      </c>
      <c r="I6" s="179"/>
      <c r="J6" s="178">
        <f>SUM(H6:I6)</f>
        <v>37870.107000000004</v>
      </c>
      <c r="K6" s="78">
        <v>42221.267</v>
      </c>
      <c r="L6" s="54">
        <v>296.84899999999999</v>
      </c>
      <c r="M6" s="54"/>
      <c r="N6" s="54"/>
      <c r="O6" s="54"/>
      <c r="P6" s="54"/>
      <c r="Q6" s="180">
        <f>SUM(F6:G6,J6:P6)</f>
        <v>81394.902000000002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92.682000000000002</v>
      </c>
      <c r="F7" s="181">
        <f t="shared" ref="F7:F68" si="0">SUM(D7:E7)</f>
        <v>92.682000000000002</v>
      </c>
      <c r="G7" s="77"/>
      <c r="H7" s="77">
        <v>136.309</v>
      </c>
      <c r="I7" s="174"/>
      <c r="J7" s="181">
        <f t="shared" ref="J7:J68" si="1">SUM(H7:I7)</f>
        <v>136.309</v>
      </c>
      <c r="K7" s="77">
        <v>114.42100000000001</v>
      </c>
      <c r="L7" s="33"/>
      <c r="M7" s="33"/>
      <c r="N7" s="33"/>
      <c r="O7" s="33"/>
      <c r="P7" s="33"/>
      <c r="Q7" s="175">
        <f t="shared" ref="Q7:Q68" si="2">SUM(F7:G7,J7:P7)</f>
        <v>343.41199999999998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1816.614</v>
      </c>
      <c r="F8" s="178">
        <f t="shared" si="0"/>
        <v>1816.614</v>
      </c>
      <c r="G8" s="78"/>
      <c r="H8" s="78">
        <v>5684.18</v>
      </c>
      <c r="I8" s="179"/>
      <c r="J8" s="178">
        <f t="shared" si="1"/>
        <v>5684.18</v>
      </c>
      <c r="K8" s="78">
        <v>3316.873</v>
      </c>
      <c r="L8" s="54"/>
      <c r="M8" s="54"/>
      <c r="N8" s="54"/>
      <c r="O8" s="54"/>
      <c r="P8" s="54"/>
      <c r="Q8" s="180">
        <f t="shared" si="2"/>
        <v>10817.666999999999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f t="shared" ref="E9:E10" si="3">+E5+E7</f>
        <v>92.682000000000002</v>
      </c>
      <c r="F9" s="181">
        <f>SUM(D9:E9)</f>
        <v>92.682000000000002</v>
      </c>
      <c r="G9" s="49">
        <f t="shared" ref="G9:H10" si="4">+G5+G7</f>
        <v>34.3386</v>
      </c>
      <c r="H9" s="49">
        <f t="shared" si="4"/>
        <v>1240.8201999999999</v>
      </c>
      <c r="I9" s="50"/>
      <c r="J9" s="181">
        <f>SUM(H9:I9)</f>
        <v>1240.8201999999999</v>
      </c>
      <c r="K9" s="49">
        <f t="shared" ref="K9:L10" si="5">+K5+K7</f>
        <v>1056.5328</v>
      </c>
      <c r="L9" s="33">
        <f t="shared" si="5"/>
        <v>19.439800000000002</v>
      </c>
      <c r="M9" s="33"/>
      <c r="N9" s="33"/>
      <c r="O9" s="33"/>
      <c r="P9" s="33"/>
      <c r="Q9" s="175">
        <f t="shared" si="2"/>
        <v>2443.8134</v>
      </c>
      <c r="R9" s="47"/>
    </row>
    <row r="10" spans="1:18">
      <c r="A10" s="183"/>
      <c r="B10" s="309"/>
      <c r="C10" s="177" t="s">
        <v>13</v>
      </c>
      <c r="D10" s="54"/>
      <c r="E10" s="54">
        <f t="shared" si="3"/>
        <v>1816.614</v>
      </c>
      <c r="F10" s="178">
        <f t="shared" si="0"/>
        <v>1816.614</v>
      </c>
      <c r="G10" s="68">
        <f t="shared" si="4"/>
        <v>1006.679</v>
      </c>
      <c r="H10" s="68">
        <f t="shared" si="4"/>
        <v>43554.287000000004</v>
      </c>
      <c r="I10" s="63"/>
      <c r="J10" s="178">
        <f t="shared" si="1"/>
        <v>43554.287000000004</v>
      </c>
      <c r="K10" s="68">
        <f t="shared" si="5"/>
        <v>45538.14</v>
      </c>
      <c r="L10" s="54">
        <f t="shared" si="5"/>
        <v>296.84899999999999</v>
      </c>
      <c r="M10" s="54"/>
      <c r="N10" s="54"/>
      <c r="O10" s="54"/>
      <c r="P10" s="54"/>
      <c r="Q10" s="180">
        <f t="shared" si="2"/>
        <v>92212.569000000003</v>
      </c>
      <c r="R10" s="47"/>
    </row>
    <row r="11" spans="1:18">
      <c r="A11" s="310" t="s">
        <v>20</v>
      </c>
      <c r="B11" s="311"/>
      <c r="C11" s="48" t="s">
        <v>11</v>
      </c>
      <c r="D11" s="52">
        <v>8.5000000000000006E-2</v>
      </c>
      <c r="E11" s="52"/>
      <c r="F11" s="181">
        <f t="shared" si="0"/>
        <v>8.5000000000000006E-2</v>
      </c>
      <c r="G11" s="77">
        <v>9.4000000000000004E-3</v>
      </c>
      <c r="H11" s="77"/>
      <c r="I11" s="174"/>
      <c r="J11" s="181">
        <f t="shared" si="1"/>
        <v>0</v>
      </c>
      <c r="K11" s="77"/>
      <c r="L11" s="33"/>
      <c r="M11" s="33"/>
      <c r="N11" s="33"/>
      <c r="O11" s="33"/>
      <c r="P11" s="33"/>
      <c r="Q11" s="175">
        <f t="shared" si="2"/>
        <v>9.4400000000000012E-2</v>
      </c>
      <c r="R11" s="47"/>
    </row>
    <row r="12" spans="1:18">
      <c r="A12" s="312"/>
      <c r="B12" s="313"/>
      <c r="C12" s="177" t="s">
        <v>13</v>
      </c>
      <c r="D12" s="209">
        <v>9.8128799089492471</v>
      </c>
      <c r="E12" s="53"/>
      <c r="F12" s="178">
        <f t="shared" si="0"/>
        <v>9.8128799089492471</v>
      </c>
      <c r="G12" s="78">
        <v>0.60899999999999999</v>
      </c>
      <c r="H12" s="78"/>
      <c r="I12" s="179"/>
      <c r="J12" s="178">
        <f t="shared" si="1"/>
        <v>0</v>
      </c>
      <c r="K12" s="78"/>
      <c r="L12" s="54"/>
      <c r="M12" s="54"/>
      <c r="N12" s="54"/>
      <c r="O12" s="54"/>
      <c r="P12" s="54"/>
      <c r="Q12" s="180">
        <f t="shared" si="2"/>
        <v>10.421879908949247</v>
      </c>
      <c r="R12" s="47"/>
    </row>
    <row r="13" spans="1:18">
      <c r="A13" s="27"/>
      <c r="B13" s="306" t="s">
        <v>21</v>
      </c>
      <c r="C13" s="48" t="s">
        <v>11</v>
      </c>
      <c r="D13" s="52">
        <v>5.7859999999999996</v>
      </c>
      <c r="E13" s="52">
        <v>14.501799999999999</v>
      </c>
      <c r="F13" s="181">
        <f t="shared" si="0"/>
        <v>20.287799999999997</v>
      </c>
      <c r="G13" s="77">
        <v>0.46260000000000001</v>
      </c>
      <c r="H13" s="77">
        <v>5.2999999999999999E-2</v>
      </c>
      <c r="I13" s="174"/>
      <c r="J13" s="181">
        <f t="shared" si="1"/>
        <v>5.2999999999999999E-2</v>
      </c>
      <c r="K13" s="77"/>
      <c r="L13" s="33">
        <v>0.17749999999999999</v>
      </c>
      <c r="M13" s="33"/>
      <c r="N13" s="33"/>
      <c r="O13" s="33"/>
      <c r="P13" s="33"/>
      <c r="Q13" s="175">
        <f t="shared" si="2"/>
        <v>20.980899999999995</v>
      </c>
      <c r="R13" s="47"/>
    </row>
    <row r="14" spans="1:18">
      <c r="A14" s="172" t="s">
        <v>0</v>
      </c>
      <c r="B14" s="307"/>
      <c r="C14" s="177" t="s">
        <v>13</v>
      </c>
      <c r="D14" s="209">
        <v>19943.387814951318</v>
      </c>
      <c r="E14" s="53">
        <v>47565.552000000003</v>
      </c>
      <c r="F14" s="178">
        <f t="shared" si="0"/>
        <v>67508.939814951329</v>
      </c>
      <c r="G14" s="78">
        <v>2848.34</v>
      </c>
      <c r="H14" s="78">
        <v>157.41</v>
      </c>
      <c r="I14" s="179"/>
      <c r="J14" s="178">
        <f t="shared" si="1"/>
        <v>157.41</v>
      </c>
      <c r="K14" s="78"/>
      <c r="L14" s="54">
        <v>710.68399999999997</v>
      </c>
      <c r="M14" s="54"/>
      <c r="N14" s="54"/>
      <c r="O14" s="54"/>
      <c r="P14" s="54"/>
      <c r="Q14" s="180">
        <f t="shared" si="2"/>
        <v>71225.373814951323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0.38500000000000001</v>
      </c>
      <c r="E15" s="52"/>
      <c r="F15" s="181">
        <f t="shared" si="0"/>
        <v>0.38500000000000001</v>
      </c>
      <c r="G15" s="77">
        <v>0.71679999999999999</v>
      </c>
      <c r="H15" s="77">
        <v>0.17599999999999999</v>
      </c>
      <c r="I15" s="174"/>
      <c r="J15" s="181">
        <f t="shared" si="1"/>
        <v>0.17599999999999999</v>
      </c>
      <c r="K15" s="77">
        <v>0.28849999999999998</v>
      </c>
      <c r="L15" s="33">
        <v>1.0999999999999999E-2</v>
      </c>
      <c r="M15" s="33"/>
      <c r="N15" s="33"/>
      <c r="O15" s="33"/>
      <c r="P15" s="33"/>
      <c r="Q15" s="175">
        <f t="shared" si="2"/>
        <v>1.5772999999999997</v>
      </c>
      <c r="R15" s="47"/>
    </row>
    <row r="16" spans="1:18">
      <c r="A16" s="176" t="s">
        <v>0</v>
      </c>
      <c r="B16" s="307"/>
      <c r="C16" s="177" t="s">
        <v>13</v>
      </c>
      <c r="D16" s="209">
        <v>147.34223863285581</v>
      </c>
      <c r="E16" s="53"/>
      <c r="F16" s="178">
        <f t="shared" si="0"/>
        <v>147.34223863285581</v>
      </c>
      <c r="G16" s="78">
        <v>1274.864</v>
      </c>
      <c r="H16" s="78">
        <v>583.50300000000004</v>
      </c>
      <c r="I16" s="179"/>
      <c r="J16" s="178">
        <f t="shared" si="1"/>
        <v>583.50300000000004</v>
      </c>
      <c r="K16" s="78">
        <v>878.62</v>
      </c>
      <c r="L16" s="54">
        <v>23.76</v>
      </c>
      <c r="M16" s="54"/>
      <c r="N16" s="54"/>
      <c r="O16" s="54"/>
      <c r="P16" s="54"/>
      <c r="Q16" s="180">
        <f t="shared" si="2"/>
        <v>2908.089238632856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89.4482</v>
      </c>
      <c r="E17" s="52">
        <v>80.361800000000002</v>
      </c>
      <c r="F17" s="181">
        <f t="shared" si="0"/>
        <v>169.81</v>
      </c>
      <c r="G17" s="77">
        <v>65.53</v>
      </c>
      <c r="H17" s="77"/>
      <c r="I17" s="174"/>
      <c r="J17" s="181">
        <f t="shared" si="1"/>
        <v>0</v>
      </c>
      <c r="K17" s="77"/>
      <c r="L17" s="33">
        <v>0.24349999999999999</v>
      </c>
      <c r="M17" s="33"/>
      <c r="N17" s="33"/>
      <c r="O17" s="33"/>
      <c r="P17" s="33"/>
      <c r="Q17" s="175">
        <f t="shared" si="2"/>
        <v>235.58350000000002</v>
      </c>
      <c r="R17" s="47"/>
    </row>
    <row r="18" spans="1:18">
      <c r="A18" s="176"/>
      <c r="B18" s="307"/>
      <c r="C18" s="177" t="s">
        <v>13</v>
      </c>
      <c r="D18" s="209">
        <v>130123.05359262743</v>
      </c>
      <c r="E18" s="53">
        <v>131180.67800000001</v>
      </c>
      <c r="F18" s="178">
        <f t="shared" si="0"/>
        <v>261303.73159262745</v>
      </c>
      <c r="G18" s="78">
        <v>98167.78</v>
      </c>
      <c r="H18" s="78"/>
      <c r="I18" s="179"/>
      <c r="J18" s="178">
        <f t="shared" si="1"/>
        <v>0</v>
      </c>
      <c r="K18" s="78"/>
      <c r="L18" s="54">
        <v>359.51900000000001</v>
      </c>
      <c r="M18" s="54"/>
      <c r="N18" s="54"/>
      <c r="O18" s="54"/>
      <c r="P18" s="54"/>
      <c r="Q18" s="180">
        <f t="shared" si="2"/>
        <v>359831.03059262742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2.6027999999999998</v>
      </c>
      <c r="E19" s="52">
        <v>1.7787999999999999</v>
      </c>
      <c r="F19" s="181">
        <f t="shared" si="0"/>
        <v>4.3815999999999997</v>
      </c>
      <c r="G19" s="77">
        <v>2.4521999999999999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6.8338000000000001</v>
      </c>
      <c r="R19" s="47"/>
    </row>
    <row r="20" spans="1:18">
      <c r="A20" s="176"/>
      <c r="B20" s="177" t="s">
        <v>28</v>
      </c>
      <c r="C20" s="177" t="s">
        <v>13</v>
      </c>
      <c r="D20" s="209">
        <v>4146.81116152299</v>
      </c>
      <c r="E20" s="53">
        <v>2070.7620000000002</v>
      </c>
      <c r="F20" s="178">
        <f t="shared" si="0"/>
        <v>6217.5731615229906</v>
      </c>
      <c r="G20" s="78">
        <v>4340.4669999999996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10558.040161522989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209.417</v>
      </c>
      <c r="E21" s="52">
        <v>277.42079999999999</v>
      </c>
      <c r="F21" s="181">
        <f t="shared" si="0"/>
        <v>486.83780000000002</v>
      </c>
      <c r="G21" s="77">
        <v>64.92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551.75779999999997</v>
      </c>
      <c r="R21" s="47"/>
    </row>
    <row r="22" spans="1:18">
      <c r="A22" s="27"/>
      <c r="B22" s="307"/>
      <c r="C22" s="177" t="s">
        <v>13</v>
      </c>
      <c r="D22" s="209">
        <v>85320.759528334413</v>
      </c>
      <c r="E22" s="53">
        <v>98959.646999999997</v>
      </c>
      <c r="F22" s="178">
        <f t="shared" si="0"/>
        <v>184280.40652833442</v>
      </c>
      <c r="G22" s="78">
        <v>25144.306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4"/>
      <c r="Q22" s="180">
        <f t="shared" si="2"/>
        <v>209424.71252833444</v>
      </c>
      <c r="R22" s="47"/>
    </row>
    <row r="23" spans="1:18">
      <c r="A23" s="27"/>
      <c r="B23" s="308" t="s">
        <v>19</v>
      </c>
      <c r="C23" s="48" t="s">
        <v>11</v>
      </c>
      <c r="D23" s="33">
        <f t="shared" ref="D23:E24" si="6">+D13+D15+D17+D19+D21</f>
        <v>307.63900000000001</v>
      </c>
      <c r="E23" s="33">
        <f t="shared" si="6"/>
        <v>374.06319999999999</v>
      </c>
      <c r="F23" s="181">
        <f t="shared" si="0"/>
        <v>681.70219999999995</v>
      </c>
      <c r="G23" s="49">
        <f t="shared" ref="G23:H24" si="7">+G13+G15+G17+G19+G21</f>
        <v>134.08160000000001</v>
      </c>
      <c r="H23" s="49">
        <f t="shared" si="7"/>
        <v>0.22899999999999998</v>
      </c>
      <c r="I23" s="50"/>
      <c r="J23" s="181">
        <f t="shared" si="1"/>
        <v>0.22899999999999998</v>
      </c>
      <c r="K23" s="49">
        <f t="shared" ref="K23:L24" si="8">+K13+K15+K17+K19+K21</f>
        <v>0.28849999999999998</v>
      </c>
      <c r="L23" s="33">
        <f t="shared" si="8"/>
        <v>0.432</v>
      </c>
      <c r="M23" s="33"/>
      <c r="N23" s="33"/>
      <c r="O23" s="33"/>
      <c r="P23" s="33"/>
      <c r="Q23" s="175">
        <f t="shared" si="2"/>
        <v>816.73329999999999</v>
      </c>
      <c r="R23" s="47"/>
    </row>
    <row r="24" spans="1:18">
      <c r="A24" s="183"/>
      <c r="B24" s="309"/>
      <c r="C24" s="177" t="s">
        <v>13</v>
      </c>
      <c r="D24" s="54">
        <f t="shared" si="6"/>
        <v>239681.35433606902</v>
      </c>
      <c r="E24" s="54">
        <f t="shared" si="6"/>
        <v>279776.63899999997</v>
      </c>
      <c r="F24" s="178">
        <f t="shared" si="0"/>
        <v>519457.99333606899</v>
      </c>
      <c r="G24" s="68">
        <f t="shared" si="7"/>
        <v>131775.75700000001</v>
      </c>
      <c r="H24" s="68">
        <f t="shared" si="7"/>
        <v>740.91300000000001</v>
      </c>
      <c r="I24" s="63"/>
      <c r="J24" s="178">
        <f t="shared" si="1"/>
        <v>740.91300000000001</v>
      </c>
      <c r="K24" s="68">
        <f t="shared" si="8"/>
        <v>878.62</v>
      </c>
      <c r="L24" s="54">
        <f t="shared" si="8"/>
        <v>1093.963</v>
      </c>
      <c r="M24" s="54"/>
      <c r="N24" s="54"/>
      <c r="O24" s="54"/>
      <c r="P24" s="54"/>
      <c r="Q24" s="180">
        <f t="shared" si="2"/>
        <v>653947.24633606896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10.702</v>
      </c>
      <c r="E25" s="52">
        <v>13.558999999999999</v>
      </c>
      <c r="F25" s="181">
        <f t="shared" si="0"/>
        <v>24.260999999999999</v>
      </c>
      <c r="G25" s="77">
        <v>371.6182</v>
      </c>
      <c r="H25" s="77"/>
      <c r="I25" s="174"/>
      <c r="J25" s="181">
        <f t="shared" si="1"/>
        <v>0</v>
      </c>
      <c r="K25" s="77"/>
      <c r="L25" s="33">
        <v>2.0799999999999999E-2</v>
      </c>
      <c r="M25" s="33"/>
      <c r="N25" s="33"/>
      <c r="O25" s="33"/>
      <c r="P25" s="33"/>
      <c r="Q25" s="175">
        <f t="shared" si="2"/>
        <v>395.90000000000003</v>
      </c>
      <c r="R25" s="47"/>
    </row>
    <row r="26" spans="1:18">
      <c r="A26" s="176" t="s">
        <v>31</v>
      </c>
      <c r="B26" s="307"/>
      <c r="C26" s="177" t="s">
        <v>13</v>
      </c>
      <c r="D26" s="209">
        <v>6888.1643360868011</v>
      </c>
      <c r="E26" s="53">
        <v>9115.6740000000009</v>
      </c>
      <c r="F26" s="178">
        <f t="shared" si="0"/>
        <v>16003.838336086803</v>
      </c>
      <c r="G26" s="78">
        <v>320176.359</v>
      </c>
      <c r="H26" s="78"/>
      <c r="I26" s="179"/>
      <c r="J26" s="178">
        <f t="shared" si="1"/>
        <v>0</v>
      </c>
      <c r="K26" s="78"/>
      <c r="L26" s="54">
        <v>40.845999999999997</v>
      </c>
      <c r="M26" s="54"/>
      <c r="N26" s="54"/>
      <c r="O26" s="54"/>
      <c r="P26" s="54"/>
      <c r="Q26" s="180">
        <f t="shared" si="2"/>
        <v>336221.04333608679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3.6669999999999998</v>
      </c>
      <c r="E27" s="52">
        <v>2.3849999999999998</v>
      </c>
      <c r="F27" s="181">
        <f t="shared" si="0"/>
        <v>6.0519999999999996</v>
      </c>
      <c r="G27" s="77">
        <v>3.6692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9.7211999999999996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209">
        <v>2138.842780154323</v>
      </c>
      <c r="E28" s="53">
        <v>1629.8389999999999</v>
      </c>
      <c r="F28" s="178">
        <f t="shared" si="0"/>
        <v>3768.681780154323</v>
      </c>
      <c r="G28" s="78">
        <v>4534.9830000000002</v>
      </c>
      <c r="H28" s="78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8303.6647801543222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f t="shared" ref="D29:E30" si="9">+D25+D27</f>
        <v>14.369</v>
      </c>
      <c r="E29" s="33">
        <f t="shared" si="9"/>
        <v>15.943999999999999</v>
      </c>
      <c r="F29" s="181">
        <f t="shared" si="0"/>
        <v>30.312999999999999</v>
      </c>
      <c r="G29" s="49">
        <f t="shared" ref="G29:G30" si="10">+G25+G27</f>
        <v>375.28739999999999</v>
      </c>
      <c r="H29" s="49"/>
      <c r="I29" s="50"/>
      <c r="J29" s="181">
        <f t="shared" si="1"/>
        <v>0</v>
      </c>
      <c r="K29" s="49"/>
      <c r="L29" s="33">
        <f t="shared" ref="L29:L30" si="11">+L25+L27</f>
        <v>2.0799999999999999E-2</v>
      </c>
      <c r="M29" s="55"/>
      <c r="N29" s="33"/>
      <c r="O29" s="33"/>
      <c r="P29" s="33"/>
      <c r="Q29" s="175">
        <f t="shared" si="2"/>
        <v>405.62119999999999</v>
      </c>
      <c r="R29" s="47"/>
    </row>
    <row r="30" spans="1:18">
      <c r="A30" s="183"/>
      <c r="B30" s="309"/>
      <c r="C30" s="177" t="s">
        <v>13</v>
      </c>
      <c r="D30" s="54">
        <f t="shared" si="9"/>
        <v>9027.0071162411241</v>
      </c>
      <c r="E30" s="54">
        <f t="shared" si="9"/>
        <v>10745.513000000001</v>
      </c>
      <c r="F30" s="178">
        <f t="shared" si="0"/>
        <v>19772.520116241125</v>
      </c>
      <c r="G30" s="68">
        <f t="shared" si="10"/>
        <v>324711.342</v>
      </c>
      <c r="H30" s="68"/>
      <c r="I30" s="63"/>
      <c r="J30" s="178">
        <f t="shared" si="1"/>
        <v>0</v>
      </c>
      <c r="K30" s="68"/>
      <c r="L30" s="54">
        <f t="shared" si="11"/>
        <v>40.845999999999997</v>
      </c>
      <c r="M30" s="68"/>
      <c r="N30" s="54"/>
      <c r="O30" s="54"/>
      <c r="P30" s="54"/>
      <c r="Q30" s="180">
        <f t="shared" si="2"/>
        <v>344524.70811624115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1.9856</v>
      </c>
      <c r="E31" s="52">
        <v>4.9202000000000004</v>
      </c>
      <c r="F31" s="181">
        <f t="shared" si="0"/>
        <v>6.9058000000000002</v>
      </c>
      <c r="G31" s="77">
        <v>10.3735</v>
      </c>
      <c r="H31" s="77">
        <v>710.53120000000001</v>
      </c>
      <c r="I31" s="174"/>
      <c r="J31" s="181">
        <f t="shared" si="1"/>
        <v>710.53120000000001</v>
      </c>
      <c r="K31" s="77">
        <v>45.331699999999998</v>
      </c>
      <c r="L31" s="33">
        <v>5.6104000000000003</v>
      </c>
      <c r="M31" s="33"/>
      <c r="N31" s="33">
        <v>0.4456</v>
      </c>
      <c r="O31" s="33">
        <v>3.5799999999999998E-2</v>
      </c>
      <c r="P31" s="33">
        <v>3.4866000000000001</v>
      </c>
      <c r="Q31" s="175">
        <f t="shared" si="2"/>
        <v>782.72059999999999</v>
      </c>
      <c r="R31" s="47"/>
    </row>
    <row r="32" spans="1:18">
      <c r="A32" s="176" t="s">
        <v>36</v>
      </c>
      <c r="B32" s="307"/>
      <c r="C32" s="177" t="s">
        <v>13</v>
      </c>
      <c r="D32" s="209">
        <v>897.70571167045944</v>
      </c>
      <c r="E32" s="53">
        <v>1078.2170000000001</v>
      </c>
      <c r="F32" s="178">
        <f t="shared" si="0"/>
        <v>1975.9227116704596</v>
      </c>
      <c r="G32" s="78">
        <v>6187.549</v>
      </c>
      <c r="H32" s="78">
        <v>297985.75599999999</v>
      </c>
      <c r="I32" s="179"/>
      <c r="J32" s="178">
        <f t="shared" si="1"/>
        <v>297985.75599999999</v>
      </c>
      <c r="K32" s="78">
        <v>9260.0740000000005</v>
      </c>
      <c r="L32" s="54">
        <v>2248.723</v>
      </c>
      <c r="M32" s="54"/>
      <c r="N32" s="54">
        <v>110.598</v>
      </c>
      <c r="O32" s="54">
        <v>7.69</v>
      </c>
      <c r="P32" s="54">
        <v>980.25400000000002</v>
      </c>
      <c r="Q32" s="180">
        <f t="shared" si="2"/>
        <v>318756.56671167049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9.8699999999999996E-2</v>
      </c>
      <c r="E33" s="52">
        <v>0.19320000000000001</v>
      </c>
      <c r="F33" s="181">
        <f t="shared" si="0"/>
        <v>0.29189999999999999</v>
      </c>
      <c r="G33" s="77">
        <v>0.55669999999999997</v>
      </c>
      <c r="H33" s="77">
        <v>75.596800000000002</v>
      </c>
      <c r="I33" s="174"/>
      <c r="J33" s="181">
        <f t="shared" si="1"/>
        <v>75.596800000000002</v>
      </c>
      <c r="K33" s="77">
        <v>18.6768</v>
      </c>
      <c r="L33" s="33">
        <v>1.2870999999999999</v>
      </c>
      <c r="M33" s="33"/>
      <c r="N33" s="33"/>
      <c r="O33" s="33"/>
      <c r="P33" s="33">
        <v>1.2E-2</v>
      </c>
      <c r="Q33" s="175">
        <f t="shared" si="2"/>
        <v>96.421300000000002</v>
      </c>
      <c r="R33" s="47"/>
    </row>
    <row r="34" spans="1:18">
      <c r="A34" s="176" t="s">
        <v>38</v>
      </c>
      <c r="B34" s="307"/>
      <c r="C34" s="177" t="s">
        <v>13</v>
      </c>
      <c r="D34" s="209">
        <v>43.788599593698798</v>
      </c>
      <c r="E34" s="53">
        <v>39.99</v>
      </c>
      <c r="F34" s="178">
        <f t="shared" si="0"/>
        <v>83.7785995936988</v>
      </c>
      <c r="G34" s="78">
        <v>311.74200000000002</v>
      </c>
      <c r="H34" s="78">
        <v>7033.2280000000001</v>
      </c>
      <c r="I34" s="179"/>
      <c r="J34" s="178">
        <f t="shared" si="1"/>
        <v>7033.2280000000001</v>
      </c>
      <c r="K34" s="78">
        <v>1514.4570000000001</v>
      </c>
      <c r="L34" s="54">
        <v>336.38200000000001</v>
      </c>
      <c r="M34" s="54"/>
      <c r="N34" s="54"/>
      <c r="O34" s="54"/>
      <c r="P34" s="54">
        <v>0.64800000000000002</v>
      </c>
      <c r="Q34" s="180">
        <f t="shared" si="2"/>
        <v>9280.2355995936978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210.80600000000001</v>
      </c>
      <c r="I35" s="174"/>
      <c r="J35" s="181">
        <f t="shared" si="1"/>
        <v>210.80600000000001</v>
      </c>
      <c r="K35" s="77">
        <v>0.33500000000000002</v>
      </c>
      <c r="L35" s="33">
        <v>1E-3</v>
      </c>
      <c r="M35" s="33"/>
      <c r="N35" s="33">
        <v>6.6900000000000001E-2</v>
      </c>
      <c r="O35" s="33"/>
      <c r="P35" s="33"/>
      <c r="Q35" s="175">
        <f t="shared" si="2"/>
        <v>211.20890000000003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17877.293000000001</v>
      </c>
      <c r="I36" s="179"/>
      <c r="J36" s="178">
        <f t="shared" si="1"/>
        <v>17877.293000000001</v>
      </c>
      <c r="K36" s="78">
        <v>18.09</v>
      </c>
      <c r="L36" s="54">
        <v>3.1320000000000001</v>
      </c>
      <c r="M36" s="54"/>
      <c r="N36" s="54">
        <v>14.975</v>
      </c>
      <c r="O36" s="54"/>
      <c r="P36" s="54"/>
      <c r="Q36" s="180">
        <f t="shared" si="2"/>
        <v>17913.490000000002</v>
      </c>
      <c r="R36" s="47"/>
    </row>
    <row r="37" spans="1:18">
      <c r="A37" s="27"/>
      <c r="B37" s="308" t="s">
        <v>19</v>
      </c>
      <c r="C37" s="48" t="s">
        <v>11</v>
      </c>
      <c r="D37" s="33">
        <f>+D31+D33+D35</f>
        <v>2.0842999999999998</v>
      </c>
      <c r="E37" s="33">
        <f t="shared" ref="E37:E38" si="12">+E31+E33+E35</f>
        <v>5.1134000000000004</v>
      </c>
      <c r="F37" s="181">
        <f t="shared" si="0"/>
        <v>7.1977000000000002</v>
      </c>
      <c r="G37" s="49">
        <f t="shared" ref="G37:H38" si="13">+G31+G33+G35</f>
        <v>10.930199999999999</v>
      </c>
      <c r="H37" s="49">
        <f t="shared" si="13"/>
        <v>996.93400000000008</v>
      </c>
      <c r="I37" s="50"/>
      <c r="J37" s="181">
        <f t="shared" si="1"/>
        <v>996.93400000000008</v>
      </c>
      <c r="K37" s="49">
        <f t="shared" ref="K37:K38" si="14">+K31+K33+K35</f>
        <v>64.343499999999992</v>
      </c>
      <c r="L37" s="33">
        <f>+L31+L33+L35</f>
        <v>6.8985000000000003</v>
      </c>
      <c r="M37" s="33"/>
      <c r="N37" s="33">
        <f t="shared" ref="N37:N38" si="15">+N31+N33+N35</f>
        <v>0.51249999999999996</v>
      </c>
      <c r="O37" s="33">
        <f>+O31+O33+O35</f>
        <v>3.5799999999999998E-2</v>
      </c>
      <c r="P37" s="33">
        <f>P31+P33+P35</f>
        <v>3.4986000000000002</v>
      </c>
      <c r="Q37" s="175">
        <f t="shared" si="2"/>
        <v>1090.3508000000002</v>
      </c>
      <c r="R37" s="47"/>
    </row>
    <row r="38" spans="1:18">
      <c r="A38" s="183"/>
      <c r="B38" s="309"/>
      <c r="C38" s="177" t="s">
        <v>13</v>
      </c>
      <c r="D38" s="54">
        <f>+D32+D34+D36</f>
        <v>941.49431126415823</v>
      </c>
      <c r="E38" s="54">
        <f t="shared" si="12"/>
        <v>1118.2070000000001</v>
      </c>
      <c r="F38" s="178">
        <f t="shared" si="0"/>
        <v>2059.7013112641584</v>
      </c>
      <c r="G38" s="68">
        <f t="shared" si="13"/>
        <v>6499.2910000000002</v>
      </c>
      <c r="H38" s="68">
        <f t="shared" si="13"/>
        <v>322896.277</v>
      </c>
      <c r="I38" s="63"/>
      <c r="J38" s="178">
        <f t="shared" si="1"/>
        <v>322896.277</v>
      </c>
      <c r="K38" s="68">
        <f t="shared" si="14"/>
        <v>10792.621000000001</v>
      </c>
      <c r="L38" s="54">
        <f>+L32+L34+L36</f>
        <v>2588.2370000000001</v>
      </c>
      <c r="M38" s="54"/>
      <c r="N38" s="54">
        <f t="shared" si="15"/>
        <v>125.57299999999999</v>
      </c>
      <c r="O38" s="54">
        <f>+O32+O34+O36</f>
        <v>7.69</v>
      </c>
      <c r="P38" s="54">
        <f>P32+P34+P36</f>
        <v>980.90200000000004</v>
      </c>
      <c r="Q38" s="180">
        <f t="shared" si="2"/>
        <v>345950.29231126414</v>
      </c>
      <c r="R38" s="47"/>
    </row>
    <row r="39" spans="1:18">
      <c r="A39" s="310" t="s">
        <v>40</v>
      </c>
      <c r="B39" s="311"/>
      <c r="C39" s="48" t="s">
        <v>11</v>
      </c>
      <c r="D39" s="52">
        <v>5.4899999999999997E-2</v>
      </c>
      <c r="E39" s="52">
        <v>3.2800000000000003E-2</v>
      </c>
      <c r="F39" s="181">
        <f t="shared" si="0"/>
        <v>8.77E-2</v>
      </c>
      <c r="G39" s="77">
        <v>3.1800000000000002E-2</v>
      </c>
      <c r="H39" s="77">
        <v>3.8073999999999999</v>
      </c>
      <c r="I39" s="174"/>
      <c r="J39" s="181">
        <f t="shared" si="1"/>
        <v>3.8073999999999999</v>
      </c>
      <c r="K39" s="77">
        <v>2.5171000000000001</v>
      </c>
      <c r="L39" s="33">
        <v>1.6799999999999999E-2</v>
      </c>
      <c r="M39" s="33"/>
      <c r="N39" s="33">
        <v>0.41289999999999999</v>
      </c>
      <c r="O39" s="33"/>
      <c r="P39" s="33">
        <v>0.68400000000000005</v>
      </c>
      <c r="Q39" s="175">
        <f t="shared" si="2"/>
        <v>7.5576999999999996</v>
      </c>
      <c r="R39" s="47"/>
    </row>
    <row r="40" spans="1:18">
      <c r="A40" s="312"/>
      <c r="B40" s="313"/>
      <c r="C40" s="177" t="s">
        <v>13</v>
      </c>
      <c r="D40" s="209">
        <v>97.496999095354766</v>
      </c>
      <c r="E40" s="53">
        <v>19.094000000000001</v>
      </c>
      <c r="F40" s="178">
        <f t="shared" si="0"/>
        <v>116.59099909535476</v>
      </c>
      <c r="G40" s="78">
        <v>14.401999999999999</v>
      </c>
      <c r="H40" s="78">
        <v>1964.1559999999999</v>
      </c>
      <c r="I40" s="179"/>
      <c r="J40" s="178">
        <f t="shared" si="1"/>
        <v>1964.1559999999999</v>
      </c>
      <c r="K40" s="78">
        <v>1139.617</v>
      </c>
      <c r="L40" s="54">
        <v>5.5949999999999998</v>
      </c>
      <c r="M40" s="54"/>
      <c r="N40" s="54">
        <v>94.204999999999998</v>
      </c>
      <c r="O40" s="54"/>
      <c r="P40" s="54">
        <v>233.411</v>
      </c>
      <c r="Q40" s="180">
        <f t="shared" si="2"/>
        <v>3567.9769990953541</v>
      </c>
      <c r="R40" s="47"/>
    </row>
    <row r="41" spans="1:18">
      <c r="A41" s="310" t="s">
        <v>41</v>
      </c>
      <c r="B41" s="311"/>
      <c r="C41" s="48" t="s">
        <v>11</v>
      </c>
      <c r="D41" s="52">
        <v>3.9485999999999999</v>
      </c>
      <c r="E41" s="52">
        <v>0.27050000000000002</v>
      </c>
      <c r="F41" s="181">
        <f t="shared" si="0"/>
        <v>4.2191000000000001</v>
      </c>
      <c r="G41" s="77">
        <v>0.10829999999999999</v>
      </c>
      <c r="H41" s="77">
        <v>27.564399999999999</v>
      </c>
      <c r="I41" s="174"/>
      <c r="J41" s="181">
        <f t="shared" si="1"/>
        <v>27.564399999999999</v>
      </c>
      <c r="K41" s="77">
        <v>94.4375</v>
      </c>
      <c r="L41" s="33">
        <v>1.2873000000000001</v>
      </c>
      <c r="M41" s="33"/>
      <c r="N41" s="33">
        <v>0.33</v>
      </c>
      <c r="O41" s="33"/>
      <c r="P41" s="33">
        <v>0.1051</v>
      </c>
      <c r="Q41" s="175">
        <f t="shared" si="2"/>
        <v>128.05170000000001</v>
      </c>
      <c r="R41" s="47"/>
    </row>
    <row r="42" spans="1:18">
      <c r="A42" s="312"/>
      <c r="B42" s="313"/>
      <c r="C42" s="177" t="s">
        <v>13</v>
      </c>
      <c r="D42" s="209">
        <v>3963.8699632204462</v>
      </c>
      <c r="E42" s="53">
        <v>293.971</v>
      </c>
      <c r="F42" s="178">
        <f t="shared" si="0"/>
        <v>4257.8409632204457</v>
      </c>
      <c r="G42" s="78">
        <v>83.736000000000004</v>
      </c>
      <c r="H42" s="78">
        <v>11777.583000000001</v>
      </c>
      <c r="I42" s="179"/>
      <c r="J42" s="178">
        <f t="shared" si="1"/>
        <v>11777.583000000001</v>
      </c>
      <c r="K42" s="78">
        <v>34718.824000000001</v>
      </c>
      <c r="L42" s="54">
        <v>543.053</v>
      </c>
      <c r="M42" s="54"/>
      <c r="N42" s="54">
        <v>12.311999999999999</v>
      </c>
      <c r="O42" s="54"/>
      <c r="P42" s="54">
        <v>6.6479999999999997</v>
      </c>
      <c r="Q42" s="180">
        <f t="shared" si="2"/>
        <v>51399.996963220445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/>
      <c r="H45" s="77">
        <v>1.8E-3</v>
      </c>
      <c r="I45" s="174"/>
      <c r="J45" s="181">
        <f t="shared" si="1"/>
        <v>1.8E-3</v>
      </c>
      <c r="K45" s="77"/>
      <c r="L45" s="33"/>
      <c r="M45" s="33"/>
      <c r="N45" s="33"/>
      <c r="O45" s="33"/>
      <c r="P45" s="33"/>
      <c r="Q45" s="175">
        <f t="shared" si="2"/>
        <v>1.8E-3</v>
      </c>
      <c r="R45" s="47"/>
    </row>
    <row r="46" spans="1:18">
      <c r="A46" s="312"/>
      <c r="B46" s="313"/>
      <c r="C46" s="177" t="s">
        <v>13</v>
      </c>
      <c r="D46" s="209"/>
      <c r="E46" s="53"/>
      <c r="F46" s="178">
        <f t="shared" si="0"/>
        <v>0</v>
      </c>
      <c r="G46" s="78"/>
      <c r="H46" s="78">
        <v>1.5549999999999999</v>
      </c>
      <c r="I46" s="179"/>
      <c r="J46" s="178">
        <f t="shared" si="1"/>
        <v>1.5549999999999999</v>
      </c>
      <c r="K46" s="78"/>
      <c r="L46" s="54"/>
      <c r="M46" s="54"/>
      <c r="N46" s="54"/>
      <c r="O46" s="54"/>
      <c r="P46" s="54"/>
      <c r="Q46" s="180">
        <f t="shared" si="2"/>
        <v>1.5549999999999999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>
        <v>0</v>
      </c>
      <c r="H47" s="77">
        <v>1.5800000000000002E-2</v>
      </c>
      <c r="I47" s="174"/>
      <c r="J47" s="181">
        <f t="shared" si="1"/>
        <v>1.5800000000000002E-2</v>
      </c>
      <c r="K47" s="77">
        <v>1E-3</v>
      </c>
      <c r="L47" s="33">
        <v>1E-3</v>
      </c>
      <c r="M47" s="33"/>
      <c r="N47" s="33"/>
      <c r="O47" s="33"/>
      <c r="P47" s="33"/>
      <c r="Q47" s="175">
        <f t="shared" si="2"/>
        <v>1.7800000000000003E-2</v>
      </c>
      <c r="R47" s="47"/>
    </row>
    <row r="48" spans="1:18">
      <c r="A48" s="312"/>
      <c r="B48" s="313"/>
      <c r="C48" s="177" t="s">
        <v>13</v>
      </c>
      <c r="D48" s="209"/>
      <c r="E48" s="53"/>
      <c r="F48" s="178">
        <f t="shared" si="0"/>
        <v>0</v>
      </c>
      <c r="G48" s="78">
        <v>0.97199999999999998</v>
      </c>
      <c r="H48" s="78">
        <v>7.5739999999999998</v>
      </c>
      <c r="I48" s="179"/>
      <c r="J48" s="178">
        <f t="shared" si="1"/>
        <v>7.5739999999999998</v>
      </c>
      <c r="K48" s="78">
        <v>2.16</v>
      </c>
      <c r="L48" s="54">
        <v>0.432</v>
      </c>
      <c r="M48" s="54"/>
      <c r="N48" s="54"/>
      <c r="O48" s="54"/>
      <c r="P48" s="54"/>
      <c r="Q48" s="180">
        <f t="shared" si="2"/>
        <v>11.138</v>
      </c>
      <c r="R48" s="47"/>
    </row>
    <row r="49" spans="1:18">
      <c r="A49" s="310" t="s">
        <v>45</v>
      </c>
      <c r="B49" s="311"/>
      <c r="C49" s="48" t="s">
        <v>11</v>
      </c>
      <c r="D49" s="52">
        <v>88.148399999999995</v>
      </c>
      <c r="E49" s="52">
        <v>3.8800000000000001E-2</v>
      </c>
      <c r="F49" s="181">
        <f t="shared" si="0"/>
        <v>88.18719999999999</v>
      </c>
      <c r="G49" s="77">
        <v>727.01710000000003</v>
      </c>
      <c r="H49" s="77">
        <v>6437.4584000000004</v>
      </c>
      <c r="I49" s="174"/>
      <c r="J49" s="181">
        <f t="shared" si="1"/>
        <v>6437.4584000000004</v>
      </c>
      <c r="K49" s="77">
        <v>126.93980000000001</v>
      </c>
      <c r="L49" s="33">
        <v>3.4350000000000001</v>
      </c>
      <c r="M49" s="33"/>
      <c r="N49" s="33">
        <v>0.24560000000000001</v>
      </c>
      <c r="O49" s="33"/>
      <c r="P49" s="33">
        <v>7.3914</v>
      </c>
      <c r="Q49" s="175">
        <f t="shared" si="2"/>
        <v>7390.6745000000019</v>
      </c>
      <c r="R49" s="47"/>
    </row>
    <row r="50" spans="1:18">
      <c r="A50" s="312"/>
      <c r="B50" s="313"/>
      <c r="C50" s="177" t="s">
        <v>13</v>
      </c>
      <c r="D50" s="209">
        <v>7658.7551289367211</v>
      </c>
      <c r="E50" s="53">
        <v>12.787000000000001</v>
      </c>
      <c r="F50" s="178">
        <f t="shared" si="0"/>
        <v>7671.5421289367214</v>
      </c>
      <c r="G50" s="78">
        <v>100257.66800000001</v>
      </c>
      <c r="H50" s="78">
        <v>572777.13800000004</v>
      </c>
      <c r="I50" s="179"/>
      <c r="J50" s="178">
        <f t="shared" si="1"/>
        <v>572777.13800000004</v>
      </c>
      <c r="K50" s="78">
        <v>14864.442999999999</v>
      </c>
      <c r="L50" s="54">
        <v>878.47900000000004</v>
      </c>
      <c r="M50" s="54"/>
      <c r="N50" s="54">
        <v>9.9169999999999998</v>
      </c>
      <c r="O50" s="54"/>
      <c r="P50" s="54">
        <v>5993.9579999999996</v>
      </c>
      <c r="Q50" s="180">
        <f t="shared" si="2"/>
        <v>702453.14512893674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1.1759999999999999</v>
      </c>
      <c r="F51" s="181">
        <f t="shared" si="0"/>
        <v>1.1759999999999999</v>
      </c>
      <c r="G51" s="77">
        <v>1851.9480000000001</v>
      </c>
      <c r="H51" s="77"/>
      <c r="I51" s="174"/>
      <c r="J51" s="181">
        <f t="shared" si="1"/>
        <v>0</v>
      </c>
      <c r="K51" s="77">
        <v>1980.6165000000001</v>
      </c>
      <c r="L51" s="33">
        <v>0.19800000000000001</v>
      </c>
      <c r="M51" s="33"/>
      <c r="N51" s="33"/>
      <c r="O51" s="33"/>
      <c r="P51" s="33"/>
      <c r="Q51" s="175">
        <f t="shared" si="2"/>
        <v>3833.9384999999997</v>
      </c>
      <c r="R51" s="47"/>
    </row>
    <row r="52" spans="1:18">
      <c r="A52" s="312"/>
      <c r="B52" s="313"/>
      <c r="C52" s="177" t="s">
        <v>13</v>
      </c>
      <c r="D52" s="53"/>
      <c r="E52" s="53">
        <v>353.09500000000003</v>
      </c>
      <c r="F52" s="178">
        <f t="shared" si="0"/>
        <v>353.09500000000003</v>
      </c>
      <c r="G52" s="78">
        <v>153416.27100000001</v>
      </c>
      <c r="H52" s="78"/>
      <c r="I52" s="179"/>
      <c r="J52" s="178">
        <f t="shared" si="1"/>
        <v>0</v>
      </c>
      <c r="K52" s="78">
        <v>153889.826</v>
      </c>
      <c r="L52" s="54">
        <v>70.361999999999995</v>
      </c>
      <c r="M52" s="54"/>
      <c r="N52" s="54"/>
      <c r="O52" s="54"/>
      <c r="P52" s="54"/>
      <c r="Q52" s="180">
        <f t="shared" si="2"/>
        <v>307729.55400000006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/>
      <c r="F53" s="181">
        <f t="shared" si="0"/>
        <v>0</v>
      </c>
      <c r="G53" s="77">
        <v>154.12739999999999</v>
      </c>
      <c r="H53" s="77">
        <v>39.048000000000002</v>
      </c>
      <c r="I53" s="174"/>
      <c r="J53" s="181">
        <f t="shared" si="1"/>
        <v>39.048000000000002</v>
      </c>
      <c r="K53" s="77">
        <v>16.263400000000001</v>
      </c>
      <c r="L53" s="33">
        <v>127.82980000000001</v>
      </c>
      <c r="M53" s="33"/>
      <c r="N53" s="33">
        <v>6.2264999999999997</v>
      </c>
      <c r="O53" s="33"/>
      <c r="P53" s="33"/>
      <c r="Q53" s="175">
        <f t="shared" si="2"/>
        <v>343.49509999999998</v>
      </c>
      <c r="R53" s="47"/>
    </row>
    <row r="54" spans="1:18">
      <c r="A54" s="312"/>
      <c r="B54" s="313"/>
      <c r="C54" s="177" t="s">
        <v>13</v>
      </c>
      <c r="D54" s="209"/>
      <c r="E54" s="53"/>
      <c r="F54" s="178">
        <f t="shared" si="0"/>
        <v>0</v>
      </c>
      <c r="G54" s="78">
        <v>60663.084000000003</v>
      </c>
      <c r="H54" s="78">
        <v>18347.795999999998</v>
      </c>
      <c r="I54" s="179"/>
      <c r="J54" s="178">
        <f t="shared" si="1"/>
        <v>18347.795999999998</v>
      </c>
      <c r="K54" s="78">
        <v>7546.8180000000002</v>
      </c>
      <c r="L54" s="54">
        <v>57335.612999999998</v>
      </c>
      <c r="M54" s="54"/>
      <c r="N54" s="54">
        <v>2713.64</v>
      </c>
      <c r="O54" s="54"/>
      <c r="P54" s="54"/>
      <c r="Q54" s="180">
        <f t="shared" si="2"/>
        <v>146606.951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1.2366999999999999</v>
      </c>
      <c r="E55" s="52"/>
      <c r="F55" s="181">
        <f t="shared" si="0"/>
        <v>1.2366999999999999</v>
      </c>
      <c r="G55" s="77">
        <v>1.1599999999999999E-2</v>
      </c>
      <c r="H55" s="77">
        <v>1.0964</v>
      </c>
      <c r="I55" s="174"/>
      <c r="J55" s="181">
        <f t="shared" si="1"/>
        <v>1.0964</v>
      </c>
      <c r="K55" s="77">
        <v>1.3520000000000001</v>
      </c>
      <c r="L55" s="33">
        <v>2.9100000000000001E-2</v>
      </c>
      <c r="M55" s="33"/>
      <c r="N55" s="33">
        <v>7.9799999999999996E-2</v>
      </c>
      <c r="O55" s="33"/>
      <c r="P55" s="33">
        <v>6.0000000000000001E-3</v>
      </c>
      <c r="Q55" s="175">
        <f t="shared" si="2"/>
        <v>3.8115999999999999</v>
      </c>
      <c r="R55" s="47"/>
    </row>
    <row r="56" spans="1:18">
      <c r="A56" s="176" t="s">
        <v>36</v>
      </c>
      <c r="B56" s="307"/>
      <c r="C56" s="177" t="s">
        <v>13</v>
      </c>
      <c r="D56" s="209">
        <v>1102.6907897684648</v>
      </c>
      <c r="E56" s="53"/>
      <c r="F56" s="178">
        <f t="shared" si="0"/>
        <v>1102.6907897684648</v>
      </c>
      <c r="G56" s="78">
        <v>10.292999999999999</v>
      </c>
      <c r="H56" s="78">
        <v>866.07899999999995</v>
      </c>
      <c r="I56" s="179"/>
      <c r="J56" s="178">
        <f t="shared" si="1"/>
        <v>866.07899999999995</v>
      </c>
      <c r="K56" s="78">
        <v>943.19399999999996</v>
      </c>
      <c r="L56" s="54">
        <v>35.924999999999997</v>
      </c>
      <c r="M56" s="54"/>
      <c r="N56" s="54">
        <v>62.835999999999999</v>
      </c>
      <c r="O56" s="54"/>
      <c r="P56" s="54">
        <v>10.022</v>
      </c>
      <c r="Q56" s="180">
        <f t="shared" si="2"/>
        <v>3031.0397897684647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1.6566000000000001</v>
      </c>
      <c r="E57" s="52">
        <v>0.10290000000000001</v>
      </c>
      <c r="F57" s="181">
        <f t="shared" si="0"/>
        <v>1.7595000000000001</v>
      </c>
      <c r="G57" s="77">
        <v>9.7299999999999998E-2</v>
      </c>
      <c r="H57" s="77"/>
      <c r="I57" s="174"/>
      <c r="J57" s="181">
        <f t="shared" si="1"/>
        <v>0</v>
      </c>
      <c r="K57" s="77">
        <v>0.77749999999999997</v>
      </c>
      <c r="L57" s="33">
        <v>1.7203999999999999</v>
      </c>
      <c r="M57" s="33"/>
      <c r="N57" s="33"/>
      <c r="O57" s="33"/>
      <c r="P57" s="33">
        <v>3.7999999999999999E-2</v>
      </c>
      <c r="Q57" s="175">
        <f t="shared" si="2"/>
        <v>4.3927000000000005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209">
        <v>197.10863817108842</v>
      </c>
      <c r="E58" s="53">
        <v>48.152999999999999</v>
      </c>
      <c r="F58" s="178">
        <f t="shared" si="0"/>
        <v>245.26163817108841</v>
      </c>
      <c r="G58" s="78">
        <v>68.015000000000001</v>
      </c>
      <c r="H58" s="78"/>
      <c r="I58" s="179"/>
      <c r="J58" s="178">
        <f t="shared" si="1"/>
        <v>0</v>
      </c>
      <c r="K58" s="78">
        <v>276.959</v>
      </c>
      <c r="L58" s="54">
        <v>546.56700000000001</v>
      </c>
      <c r="M58" s="54"/>
      <c r="N58" s="54"/>
      <c r="O58" s="54"/>
      <c r="P58" s="54">
        <v>24.202999999999999</v>
      </c>
      <c r="Q58" s="180">
        <f t="shared" si="2"/>
        <v>1161.0056381710883</v>
      </c>
      <c r="R58" s="47"/>
    </row>
    <row r="59" spans="1:18">
      <c r="A59" s="27"/>
      <c r="B59" s="308" t="s">
        <v>19</v>
      </c>
      <c r="C59" s="48" t="s">
        <v>11</v>
      </c>
      <c r="D59" s="33">
        <f t="shared" ref="D59:E60" si="16">+D55+D57</f>
        <v>2.8933</v>
      </c>
      <c r="E59" s="33">
        <f t="shared" si="16"/>
        <v>0.10290000000000001</v>
      </c>
      <c r="F59" s="181">
        <f t="shared" si="0"/>
        <v>2.9962</v>
      </c>
      <c r="G59" s="49">
        <f t="shared" ref="G59:H60" si="17">+G55+G57</f>
        <v>0.1089</v>
      </c>
      <c r="H59" s="49">
        <f t="shared" si="17"/>
        <v>1.0964</v>
      </c>
      <c r="I59" s="50"/>
      <c r="J59" s="181">
        <f t="shared" si="1"/>
        <v>1.0964</v>
      </c>
      <c r="K59" s="49">
        <f t="shared" ref="K59:L60" si="18">+K55+K57</f>
        <v>2.1295000000000002</v>
      </c>
      <c r="L59" s="33">
        <f t="shared" si="18"/>
        <v>1.7494999999999998</v>
      </c>
      <c r="M59" s="33"/>
      <c r="N59" s="33">
        <f>N55+N57</f>
        <v>7.9799999999999996E-2</v>
      </c>
      <c r="O59" s="33"/>
      <c r="P59" s="33">
        <f>P55+P57</f>
        <v>4.3999999999999997E-2</v>
      </c>
      <c r="Q59" s="175">
        <f t="shared" si="2"/>
        <v>8.2043000000000017</v>
      </c>
      <c r="R59" s="47"/>
    </row>
    <row r="60" spans="1:18">
      <c r="A60" s="183"/>
      <c r="B60" s="309"/>
      <c r="C60" s="177" t="s">
        <v>13</v>
      </c>
      <c r="D60" s="54">
        <f t="shared" si="16"/>
        <v>1299.7994279395532</v>
      </c>
      <c r="E60" s="54">
        <f t="shared" si="16"/>
        <v>48.152999999999999</v>
      </c>
      <c r="F60" s="178">
        <f t="shared" si="0"/>
        <v>1347.9524279395532</v>
      </c>
      <c r="G60" s="68">
        <f t="shared" si="17"/>
        <v>78.307999999999993</v>
      </c>
      <c r="H60" s="68">
        <f t="shared" si="17"/>
        <v>866.07899999999995</v>
      </c>
      <c r="I60" s="63"/>
      <c r="J60" s="178">
        <f t="shared" si="1"/>
        <v>866.07899999999995</v>
      </c>
      <c r="K60" s="68">
        <f t="shared" si="18"/>
        <v>1220.153</v>
      </c>
      <c r="L60" s="54">
        <f t="shared" si="18"/>
        <v>582.49199999999996</v>
      </c>
      <c r="M60" s="54"/>
      <c r="N60" s="54">
        <f>N56+N58</f>
        <v>62.835999999999999</v>
      </c>
      <c r="O60" s="54"/>
      <c r="P60" s="54">
        <f>P56+P58</f>
        <v>34.225000000000001</v>
      </c>
      <c r="Q60" s="180">
        <f t="shared" si="2"/>
        <v>4192.0454279395544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2.7605</v>
      </c>
      <c r="E61" s="52">
        <v>7.3979999999999997</v>
      </c>
      <c r="F61" s="181">
        <f t="shared" si="0"/>
        <v>10.1585</v>
      </c>
      <c r="G61" s="77">
        <v>0.14549999999999999</v>
      </c>
      <c r="H61" s="77">
        <v>10.926</v>
      </c>
      <c r="I61" s="174"/>
      <c r="J61" s="181">
        <f t="shared" si="1"/>
        <v>10.926</v>
      </c>
      <c r="K61" s="77"/>
      <c r="L61" s="33">
        <v>0.61699999999999999</v>
      </c>
      <c r="M61" s="33"/>
      <c r="N61" s="33"/>
      <c r="O61" s="33"/>
      <c r="P61" s="33"/>
      <c r="Q61" s="175">
        <f t="shared" si="2"/>
        <v>21.847000000000001</v>
      </c>
      <c r="R61" s="47"/>
    </row>
    <row r="62" spans="1:18">
      <c r="A62" s="176" t="s">
        <v>51</v>
      </c>
      <c r="B62" s="307"/>
      <c r="C62" s="177" t="s">
        <v>13</v>
      </c>
      <c r="D62" s="209">
        <v>239.91119777393635</v>
      </c>
      <c r="E62" s="53">
        <v>580.01400000000001</v>
      </c>
      <c r="F62" s="178">
        <f t="shared" si="0"/>
        <v>819.92519777393636</v>
      </c>
      <c r="G62" s="78">
        <v>7.65</v>
      </c>
      <c r="H62" s="78">
        <v>1667.7339999999999</v>
      </c>
      <c r="I62" s="179"/>
      <c r="J62" s="178">
        <f t="shared" si="1"/>
        <v>1667.7339999999999</v>
      </c>
      <c r="K62" s="78"/>
      <c r="L62" s="54">
        <v>35.688000000000002</v>
      </c>
      <c r="M62" s="54"/>
      <c r="N62" s="54"/>
      <c r="O62" s="54"/>
      <c r="P62" s="54"/>
      <c r="Q62" s="180">
        <f t="shared" si="2"/>
        <v>2530.9971977739365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6.48</v>
      </c>
      <c r="E63" s="52">
        <v>24.93</v>
      </c>
      <c r="F63" s="181">
        <f t="shared" si="0"/>
        <v>31.41</v>
      </c>
      <c r="G63" s="77">
        <v>268.42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299.83000000000004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209">
        <v>492.91199542641823</v>
      </c>
      <c r="E64" s="53">
        <v>1884.7080000000001</v>
      </c>
      <c r="F64" s="178">
        <f t="shared" si="0"/>
        <v>2377.6199954264184</v>
      </c>
      <c r="G64" s="78">
        <v>34169.622000000003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36547.241995426419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265.40499999999997</v>
      </c>
      <c r="H65" s="77">
        <v>0.08</v>
      </c>
      <c r="I65" s="174"/>
      <c r="J65" s="181">
        <f t="shared" si="1"/>
        <v>0.08</v>
      </c>
      <c r="K65" s="77">
        <v>1E-3</v>
      </c>
      <c r="L65" s="33">
        <v>1E-3</v>
      </c>
      <c r="M65" s="33"/>
      <c r="N65" s="33"/>
      <c r="O65" s="33"/>
      <c r="P65" s="33"/>
      <c r="Q65" s="175">
        <f t="shared" si="2"/>
        <v>265.48699999999991</v>
      </c>
      <c r="R65" s="47"/>
    </row>
    <row r="66" spans="1:18">
      <c r="A66" s="176" t="s">
        <v>18</v>
      </c>
      <c r="B66" s="307"/>
      <c r="C66" s="177" t="s">
        <v>13</v>
      </c>
      <c r="D66" s="209"/>
      <c r="E66" s="53"/>
      <c r="F66" s="178">
        <f t="shared" si="0"/>
        <v>0</v>
      </c>
      <c r="G66" s="78">
        <v>30500.473999999998</v>
      </c>
      <c r="H66" s="78">
        <v>8.64</v>
      </c>
      <c r="I66" s="179"/>
      <c r="J66" s="178">
        <f t="shared" si="1"/>
        <v>8.64</v>
      </c>
      <c r="K66" s="78">
        <v>1.62</v>
      </c>
      <c r="L66" s="54">
        <v>1.08</v>
      </c>
      <c r="M66" s="54"/>
      <c r="N66" s="54"/>
      <c r="O66" s="54"/>
      <c r="P66" s="54"/>
      <c r="Q66" s="180">
        <f t="shared" si="2"/>
        <v>30511.813999999998</v>
      </c>
      <c r="R66" s="47"/>
    </row>
    <row r="67" spans="1:18">
      <c r="A67" s="27"/>
      <c r="B67" s="46" t="s">
        <v>15</v>
      </c>
      <c r="C67" s="48" t="s">
        <v>11</v>
      </c>
      <c r="D67" s="52">
        <v>0.378</v>
      </c>
      <c r="E67" s="52">
        <v>0.25900000000000001</v>
      </c>
      <c r="F67" s="181">
        <f t="shared" si="0"/>
        <v>0.63700000000000001</v>
      </c>
      <c r="G67" s="77">
        <v>8.4428000000000001</v>
      </c>
      <c r="H67" s="77"/>
      <c r="I67" s="174"/>
      <c r="J67" s="181">
        <f t="shared" si="1"/>
        <v>0</v>
      </c>
      <c r="K67" s="77">
        <v>0.51749999999999996</v>
      </c>
      <c r="L67" s="33"/>
      <c r="M67" s="33"/>
      <c r="N67" s="33"/>
      <c r="O67" s="33"/>
      <c r="P67" s="33"/>
      <c r="Q67" s="175">
        <f t="shared" si="2"/>
        <v>9.5973000000000006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210">
        <v>128.03399881201113</v>
      </c>
      <c r="E68" s="56">
        <v>11.124000000000001</v>
      </c>
      <c r="F68" s="185">
        <f t="shared" si="0"/>
        <v>139.15799881201113</v>
      </c>
      <c r="G68" s="104">
        <v>3099.114</v>
      </c>
      <c r="H68" s="104"/>
      <c r="I68" s="186"/>
      <c r="J68" s="185">
        <f t="shared" si="1"/>
        <v>0</v>
      </c>
      <c r="K68" s="211">
        <v>110.857</v>
      </c>
      <c r="L68" s="37"/>
      <c r="M68" s="37"/>
      <c r="N68" s="37"/>
      <c r="O68" s="37"/>
      <c r="P68" s="37"/>
      <c r="Q68" s="187">
        <f t="shared" si="2"/>
        <v>3349.1289988120111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113</v>
      </c>
      <c r="C74" s="35"/>
      <c r="D74" s="113"/>
      <c r="E74" s="113"/>
      <c r="F74" s="188"/>
      <c r="G74" s="146"/>
      <c r="H74" s="146"/>
      <c r="I74" s="65"/>
      <c r="J74" s="188"/>
      <c r="K74" s="35" t="s">
        <v>117</v>
      </c>
      <c r="L74" s="35" t="s">
        <v>116</v>
      </c>
      <c r="M74" s="35"/>
      <c r="N74" s="35"/>
      <c r="O74" s="35" t="s">
        <v>116</v>
      </c>
      <c r="P74" s="35" t="s">
        <v>117</v>
      </c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f t="shared" ref="D76:E77" si="19">+D61+D63+D65+D67</f>
        <v>9.6185000000000009</v>
      </c>
      <c r="E76" s="33">
        <f t="shared" si="19"/>
        <v>32.587000000000003</v>
      </c>
      <c r="F76" s="191">
        <f t="shared" ref="F76:F133" si="20">SUM(D76:E76)</f>
        <v>42.205500000000001</v>
      </c>
      <c r="G76" s="49">
        <f t="shared" ref="G76:H77" si="21">+G61+G63+G65+G67</f>
        <v>542.41330000000005</v>
      </c>
      <c r="H76" s="49">
        <f t="shared" si="21"/>
        <v>11.006</v>
      </c>
      <c r="I76" s="50"/>
      <c r="J76" s="191">
        <f t="shared" ref="J76:J133" si="22">SUM(H76:I76)</f>
        <v>11.006</v>
      </c>
      <c r="K76" s="49">
        <f t="shared" ref="K76:L77" si="23">+K61+K63+K65+K67</f>
        <v>0.51849999999999996</v>
      </c>
      <c r="L76" s="33">
        <f t="shared" si="23"/>
        <v>0.61799999999999999</v>
      </c>
      <c r="M76" s="33"/>
      <c r="N76" s="33"/>
      <c r="O76" s="33"/>
      <c r="P76" s="33"/>
      <c r="Q76" s="175">
        <f t="shared" ref="Q76:Q140" si="24">SUM(F76:G76,J76:P76)</f>
        <v>596.76130000000012</v>
      </c>
      <c r="R76" s="27"/>
    </row>
    <row r="77" spans="1:18">
      <c r="A77" s="166" t="s">
        <v>53</v>
      </c>
      <c r="B77" s="309"/>
      <c r="C77" s="192" t="s">
        <v>13</v>
      </c>
      <c r="D77" s="54">
        <f t="shared" si="19"/>
        <v>860.85719201236566</v>
      </c>
      <c r="E77" s="54">
        <f t="shared" si="19"/>
        <v>2475.846</v>
      </c>
      <c r="F77" s="193">
        <f t="shared" si="20"/>
        <v>3336.7031920123654</v>
      </c>
      <c r="G77" s="68">
        <f t="shared" si="21"/>
        <v>67776.86</v>
      </c>
      <c r="H77" s="68">
        <f t="shared" si="21"/>
        <v>1676.374</v>
      </c>
      <c r="I77" s="63"/>
      <c r="J77" s="193">
        <f t="shared" si="22"/>
        <v>1676.374</v>
      </c>
      <c r="K77" s="68">
        <f t="shared" si="23"/>
        <v>112.477</v>
      </c>
      <c r="L77" s="54">
        <f t="shared" si="23"/>
        <v>36.768000000000001</v>
      </c>
      <c r="M77" s="54"/>
      <c r="N77" s="54"/>
      <c r="O77" s="54"/>
      <c r="P77" s="54"/>
      <c r="Q77" s="180">
        <f t="shared" si="24"/>
        <v>72939.182192012362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1.6124000000000001</v>
      </c>
      <c r="E78" s="52">
        <v>4.7427000000000001</v>
      </c>
      <c r="F78" s="191">
        <f t="shared" si="20"/>
        <v>6.3551000000000002</v>
      </c>
      <c r="G78" s="77">
        <v>1.4883999999999999</v>
      </c>
      <c r="H78" s="77">
        <v>35.635199999999998</v>
      </c>
      <c r="I78" s="174"/>
      <c r="J78" s="191">
        <f t="shared" si="22"/>
        <v>35.635199999999998</v>
      </c>
      <c r="K78" s="77">
        <v>6.3075999999999999</v>
      </c>
      <c r="L78" s="33">
        <v>1.7725</v>
      </c>
      <c r="M78" s="33">
        <v>0.11990000000000001</v>
      </c>
      <c r="N78" s="33">
        <v>19.762699999999999</v>
      </c>
      <c r="O78" s="33">
        <v>0.64759999999999995</v>
      </c>
      <c r="P78" s="33">
        <v>3.7783899999999999</v>
      </c>
      <c r="Q78" s="175">
        <f t="shared" si="24"/>
        <v>75.86739</v>
      </c>
      <c r="R78" s="27"/>
    </row>
    <row r="79" spans="1:18">
      <c r="A79" s="176" t="s">
        <v>31</v>
      </c>
      <c r="B79" s="307"/>
      <c r="C79" s="192" t="s">
        <v>13</v>
      </c>
      <c r="D79" s="209">
        <v>3352.9776888887313</v>
      </c>
      <c r="E79" s="53">
        <v>5279.9</v>
      </c>
      <c r="F79" s="193">
        <f t="shared" si="20"/>
        <v>8632.8776888887314</v>
      </c>
      <c r="G79" s="78">
        <v>2287.9349999999999</v>
      </c>
      <c r="H79" s="78">
        <v>25846.722000000002</v>
      </c>
      <c r="I79" s="179"/>
      <c r="J79" s="193">
        <f t="shared" si="22"/>
        <v>25846.722000000002</v>
      </c>
      <c r="K79" s="78">
        <v>6656.17</v>
      </c>
      <c r="L79" s="54">
        <v>2983.9920000000002</v>
      </c>
      <c r="M79" s="54">
        <f>63.862*1.08</f>
        <v>68.970960000000005</v>
      </c>
      <c r="N79" s="54">
        <v>17460.495999999999</v>
      </c>
      <c r="O79" s="54">
        <v>640.05899999999997</v>
      </c>
      <c r="P79" s="54">
        <v>5339.9229999999998</v>
      </c>
      <c r="Q79" s="180">
        <f t="shared" si="24"/>
        <v>69917.14564888872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20"/>
        <v>0</v>
      </c>
      <c r="G80" s="77">
        <v>1.66E-2</v>
      </c>
      <c r="H80" s="77">
        <v>7.9799999999999996E-2</v>
      </c>
      <c r="I80" s="174"/>
      <c r="J80" s="191">
        <f t="shared" si="22"/>
        <v>7.9799999999999996E-2</v>
      </c>
      <c r="K80" s="77"/>
      <c r="L80" s="33"/>
      <c r="M80" s="33"/>
      <c r="N80" s="33"/>
      <c r="O80" s="33"/>
      <c r="P80" s="33"/>
      <c r="Q80" s="175">
        <f t="shared" si="24"/>
        <v>9.64E-2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20"/>
        <v>0</v>
      </c>
      <c r="G81" s="78">
        <v>6.0069999999999997</v>
      </c>
      <c r="H81" s="78">
        <v>9.18</v>
      </c>
      <c r="I81" s="179"/>
      <c r="J81" s="193">
        <f t="shared" si="22"/>
        <v>9.18</v>
      </c>
      <c r="K81" s="78"/>
      <c r="L81" s="54"/>
      <c r="M81" s="54"/>
      <c r="N81" s="54"/>
      <c r="O81" s="54"/>
      <c r="P81" s="54"/>
      <c r="Q81" s="180">
        <f t="shared" si="24"/>
        <v>15.186999999999999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0"/>
        <v>0</v>
      </c>
      <c r="G82" s="77"/>
      <c r="H82" s="77"/>
      <c r="I82" s="174"/>
      <c r="J82" s="191">
        <f t="shared" si="22"/>
        <v>0</v>
      </c>
      <c r="K82" s="77"/>
      <c r="L82" s="33"/>
      <c r="M82" s="33"/>
      <c r="N82" s="33"/>
      <c r="O82" s="33"/>
      <c r="P82" s="33"/>
      <c r="Q82" s="175">
        <f t="shared" si="24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0"/>
        <v>0</v>
      </c>
      <c r="G83" s="78"/>
      <c r="H83" s="78"/>
      <c r="I83" s="179"/>
      <c r="J83" s="193">
        <f t="shared" si="22"/>
        <v>0</v>
      </c>
      <c r="K83" s="78"/>
      <c r="L83" s="54"/>
      <c r="M83" s="54"/>
      <c r="N83" s="54"/>
      <c r="O83" s="54"/>
      <c r="P83" s="54"/>
      <c r="Q83" s="180">
        <f t="shared" si="24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0"/>
        <v>0</v>
      </c>
      <c r="G84" s="77"/>
      <c r="H84" s="77"/>
      <c r="I84" s="174"/>
      <c r="J84" s="191">
        <f t="shared" si="22"/>
        <v>0</v>
      </c>
      <c r="K84" s="77"/>
      <c r="L84" s="33"/>
      <c r="M84" s="33"/>
      <c r="N84" s="33"/>
      <c r="O84" s="33"/>
      <c r="P84" s="33"/>
      <c r="Q84" s="175">
        <f t="shared" si="24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0"/>
        <v>0</v>
      </c>
      <c r="G85" s="78"/>
      <c r="H85" s="78"/>
      <c r="I85" s="179"/>
      <c r="J85" s="193">
        <f t="shared" si="22"/>
        <v>0</v>
      </c>
      <c r="K85" s="78"/>
      <c r="L85" s="54"/>
      <c r="M85" s="54"/>
      <c r="N85" s="54"/>
      <c r="O85" s="54"/>
      <c r="P85" s="54"/>
      <c r="Q85" s="180">
        <f t="shared" si="24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8.6408000000000005</v>
      </c>
      <c r="E86" s="52">
        <v>12.190899999999999</v>
      </c>
      <c r="F86" s="191">
        <f t="shared" si="20"/>
        <v>20.831699999999998</v>
      </c>
      <c r="G86" s="77">
        <v>4.3410000000000002</v>
      </c>
      <c r="H86" s="77">
        <v>65.288700000000006</v>
      </c>
      <c r="I86" s="174"/>
      <c r="J86" s="191">
        <f t="shared" si="22"/>
        <v>65.288700000000006</v>
      </c>
      <c r="K86" s="77">
        <v>2.7338</v>
      </c>
      <c r="L86" s="33">
        <v>2.5853000000000002</v>
      </c>
      <c r="M86" s="33">
        <v>5.7099999999999998E-2</v>
      </c>
      <c r="N86" s="33">
        <v>19.514199999999999</v>
      </c>
      <c r="O86" s="33">
        <v>1.0381</v>
      </c>
      <c r="P86" s="33">
        <v>14.370559999999999</v>
      </c>
      <c r="Q86" s="175">
        <f t="shared" si="24"/>
        <v>130.76046000000002</v>
      </c>
      <c r="R86" s="27"/>
    </row>
    <row r="87" spans="1:18">
      <c r="A87" s="176"/>
      <c r="B87" s="177" t="s">
        <v>63</v>
      </c>
      <c r="C87" s="192" t="s">
        <v>13</v>
      </c>
      <c r="D87" s="209">
        <v>10257.171384826801</v>
      </c>
      <c r="E87" s="53">
        <v>7316.4759999999997</v>
      </c>
      <c r="F87" s="193">
        <f t="shared" si="20"/>
        <v>17573.6473848268</v>
      </c>
      <c r="G87" s="78">
        <v>5397.3530000000001</v>
      </c>
      <c r="H87" s="78">
        <v>32763.13</v>
      </c>
      <c r="I87" s="179"/>
      <c r="J87" s="193">
        <f t="shared" si="22"/>
        <v>32763.13</v>
      </c>
      <c r="K87" s="78">
        <v>1644.5940000000001</v>
      </c>
      <c r="L87" s="54">
        <v>1832.617</v>
      </c>
      <c r="M87" s="54">
        <f>27.317*1.08</f>
        <v>29.502360000000003</v>
      </c>
      <c r="N87" s="54">
        <v>6371.8469999999998</v>
      </c>
      <c r="O87" s="54">
        <v>587.76</v>
      </c>
      <c r="P87" s="54">
        <v>6387.7939999999999</v>
      </c>
      <c r="Q87" s="180">
        <f t="shared" si="24"/>
        <v>72588.244744826778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f t="shared" ref="D88:E89" si="25">+D78+D80+D82+D84+D86</f>
        <v>10.2532</v>
      </c>
      <c r="E88" s="33">
        <f t="shared" si="25"/>
        <v>16.933599999999998</v>
      </c>
      <c r="F88" s="191">
        <f t="shared" si="20"/>
        <v>27.186799999999998</v>
      </c>
      <c r="G88" s="49">
        <f t="shared" ref="G88:H89" si="26">+G78+G80+G82+G84+G86</f>
        <v>5.8460000000000001</v>
      </c>
      <c r="H88" s="49">
        <f t="shared" si="26"/>
        <v>101.00370000000001</v>
      </c>
      <c r="I88" s="50"/>
      <c r="J88" s="191">
        <f t="shared" si="22"/>
        <v>101.00370000000001</v>
      </c>
      <c r="K88" s="49">
        <f t="shared" ref="K88:L89" si="27">+K78+K80+K82+K84+K86</f>
        <v>9.0413999999999994</v>
      </c>
      <c r="L88" s="33">
        <f t="shared" si="27"/>
        <v>4.3578000000000001</v>
      </c>
      <c r="M88" s="33">
        <f>+M78+M80+M82+M84+M86</f>
        <v>0.17699999999999999</v>
      </c>
      <c r="N88" s="33">
        <f t="shared" ref="N88:P89" si="28">+N78+N80+N82+N84+N86</f>
        <v>39.276899999999998</v>
      </c>
      <c r="O88" s="33">
        <f t="shared" si="28"/>
        <v>1.6857</v>
      </c>
      <c r="P88" s="33">
        <f t="shared" si="28"/>
        <v>18.148949999999999</v>
      </c>
      <c r="Q88" s="175">
        <f t="shared" si="24"/>
        <v>206.72424999999998</v>
      </c>
      <c r="R88" s="27"/>
    </row>
    <row r="89" spans="1:18">
      <c r="A89" s="183"/>
      <c r="B89" s="309"/>
      <c r="C89" s="192" t="s">
        <v>13</v>
      </c>
      <c r="D89" s="54">
        <f t="shared" si="25"/>
        <v>13610.149073715533</v>
      </c>
      <c r="E89" s="54">
        <f t="shared" si="25"/>
        <v>12596.376</v>
      </c>
      <c r="F89" s="193">
        <f t="shared" si="20"/>
        <v>26206.525073715533</v>
      </c>
      <c r="G89" s="68">
        <f t="shared" si="26"/>
        <v>7691.2950000000001</v>
      </c>
      <c r="H89" s="68">
        <f t="shared" si="26"/>
        <v>58619.032000000007</v>
      </c>
      <c r="I89" s="63"/>
      <c r="J89" s="193">
        <f t="shared" si="22"/>
        <v>58619.032000000007</v>
      </c>
      <c r="K89" s="68">
        <f t="shared" si="27"/>
        <v>8300.7639999999992</v>
      </c>
      <c r="L89" s="54">
        <f t="shared" si="27"/>
        <v>4816.6090000000004</v>
      </c>
      <c r="M89" s="54">
        <f>+M79+M81+M83+M85+M87</f>
        <v>98.473320000000001</v>
      </c>
      <c r="N89" s="54">
        <f t="shared" si="28"/>
        <v>23832.343000000001</v>
      </c>
      <c r="O89" s="54">
        <f t="shared" si="28"/>
        <v>1227.819</v>
      </c>
      <c r="P89" s="54">
        <f t="shared" si="28"/>
        <v>11727.717000000001</v>
      </c>
      <c r="Q89" s="180">
        <f t="shared" si="24"/>
        <v>142520.57739371553</v>
      </c>
      <c r="R89" s="27"/>
    </row>
    <row r="90" spans="1:18">
      <c r="A90" s="310" t="s">
        <v>64</v>
      </c>
      <c r="B90" s="311"/>
      <c r="C90" s="32" t="s">
        <v>11</v>
      </c>
      <c r="D90" s="52">
        <v>0.78920000000000001</v>
      </c>
      <c r="E90" s="52">
        <v>0.3085</v>
      </c>
      <c r="F90" s="191">
        <f t="shared" si="20"/>
        <v>1.0977000000000001</v>
      </c>
      <c r="G90" s="77">
        <v>7.3720999999999997</v>
      </c>
      <c r="H90" s="77">
        <v>19.111000000000001</v>
      </c>
      <c r="I90" s="174"/>
      <c r="J90" s="191">
        <f t="shared" si="22"/>
        <v>19.111000000000001</v>
      </c>
      <c r="K90" s="77">
        <v>2.5743999999999998</v>
      </c>
      <c r="L90" s="33">
        <v>6.1177000000000001</v>
      </c>
      <c r="M90" s="33"/>
      <c r="N90" s="33">
        <v>0.26290000000000002</v>
      </c>
      <c r="O90" s="33">
        <v>2.5499999999999998E-2</v>
      </c>
      <c r="P90" s="33">
        <v>0.26729999999999998</v>
      </c>
      <c r="Q90" s="175">
        <f t="shared" si="24"/>
        <v>36.828600000000002</v>
      </c>
      <c r="R90" s="27"/>
    </row>
    <row r="91" spans="1:18">
      <c r="A91" s="312"/>
      <c r="B91" s="313"/>
      <c r="C91" s="192" t="s">
        <v>13</v>
      </c>
      <c r="D91" s="53">
        <v>984.86279086175523</v>
      </c>
      <c r="E91" s="53">
        <v>261.149</v>
      </c>
      <c r="F91" s="193">
        <f t="shared" si="20"/>
        <v>1246.0117908617553</v>
      </c>
      <c r="G91" s="78">
        <v>9593.5360000000001</v>
      </c>
      <c r="H91" s="78">
        <v>17533.991999999998</v>
      </c>
      <c r="I91" s="179"/>
      <c r="J91" s="193">
        <f t="shared" si="22"/>
        <v>17533.991999999998</v>
      </c>
      <c r="K91" s="78">
        <v>1703.518</v>
      </c>
      <c r="L91" s="54">
        <v>6662.9679999999998</v>
      </c>
      <c r="M91" s="54"/>
      <c r="N91" s="54">
        <v>262.96899999999999</v>
      </c>
      <c r="O91" s="54">
        <v>18.187999999999999</v>
      </c>
      <c r="P91" s="54">
        <v>224.262</v>
      </c>
      <c r="Q91" s="180">
        <f t="shared" si="24"/>
        <v>37245.444790861751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20"/>
        <v>0</v>
      </c>
      <c r="G92" s="77"/>
      <c r="H92" s="77"/>
      <c r="I92" s="174"/>
      <c r="J92" s="191">
        <f t="shared" si="22"/>
        <v>0</v>
      </c>
      <c r="K92" s="77">
        <v>75.75</v>
      </c>
      <c r="L92" s="33">
        <v>0.1</v>
      </c>
      <c r="M92" s="33"/>
      <c r="N92" s="33"/>
      <c r="O92" s="33"/>
      <c r="P92" s="33"/>
      <c r="Q92" s="175">
        <f t="shared" si="24"/>
        <v>75.849999999999994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20"/>
        <v>0</v>
      </c>
      <c r="G93" s="78"/>
      <c r="H93" s="78"/>
      <c r="I93" s="179"/>
      <c r="J93" s="193">
        <f t="shared" si="22"/>
        <v>0</v>
      </c>
      <c r="K93" s="78">
        <v>3599.64</v>
      </c>
      <c r="L93" s="54">
        <v>32.4</v>
      </c>
      <c r="M93" s="54"/>
      <c r="N93" s="54"/>
      <c r="O93" s="54"/>
      <c r="P93" s="54"/>
      <c r="Q93" s="180">
        <f t="shared" si="24"/>
        <v>3632.04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20"/>
        <v>0</v>
      </c>
      <c r="G94" s="77">
        <v>0</v>
      </c>
      <c r="H94" s="77">
        <v>9.5999999999999992E-3</v>
      </c>
      <c r="I94" s="174"/>
      <c r="J94" s="191">
        <f t="shared" si="22"/>
        <v>9.5999999999999992E-3</v>
      </c>
      <c r="K94" s="77">
        <v>8.0000000000000004E-4</v>
      </c>
      <c r="L94" s="33"/>
      <c r="M94" s="33"/>
      <c r="N94" s="33"/>
      <c r="O94" s="33"/>
      <c r="P94" s="33"/>
      <c r="Q94" s="175">
        <f t="shared" si="24"/>
        <v>1.04E-2</v>
      </c>
      <c r="R94" s="27"/>
    </row>
    <row r="95" spans="1:18">
      <c r="A95" s="312"/>
      <c r="B95" s="313"/>
      <c r="C95" s="192" t="s">
        <v>13</v>
      </c>
      <c r="D95" s="209"/>
      <c r="E95" s="53"/>
      <c r="F95" s="193">
        <f t="shared" si="20"/>
        <v>0</v>
      </c>
      <c r="G95" s="78">
        <v>1.1299999999999999</v>
      </c>
      <c r="H95" s="78">
        <v>32.442999999999998</v>
      </c>
      <c r="I95" s="179"/>
      <c r="J95" s="193">
        <f t="shared" si="22"/>
        <v>32.442999999999998</v>
      </c>
      <c r="K95" s="78">
        <v>1.123</v>
      </c>
      <c r="L95" s="54"/>
      <c r="M95" s="54"/>
      <c r="N95" s="54"/>
      <c r="O95" s="54"/>
      <c r="P95" s="54"/>
      <c r="Q95" s="180">
        <f t="shared" si="24"/>
        <v>34.695999999999998</v>
      </c>
      <c r="R95" s="27"/>
    </row>
    <row r="96" spans="1:18">
      <c r="A96" s="310" t="s">
        <v>67</v>
      </c>
      <c r="B96" s="311"/>
      <c r="C96" s="32" t="s">
        <v>11</v>
      </c>
      <c r="D96" s="52">
        <v>0.11</v>
      </c>
      <c r="E96" s="52">
        <v>1.034</v>
      </c>
      <c r="F96" s="191">
        <f t="shared" si="20"/>
        <v>1.1440000000000001</v>
      </c>
      <c r="G96" s="77">
        <v>2.5000000000000001E-2</v>
      </c>
      <c r="H96" s="77">
        <v>0.68859999999999999</v>
      </c>
      <c r="I96" s="174"/>
      <c r="J96" s="191">
        <f t="shared" si="22"/>
        <v>0.68859999999999999</v>
      </c>
      <c r="K96" s="77"/>
      <c r="L96" s="33">
        <v>1.8E-3</v>
      </c>
      <c r="M96" s="33"/>
      <c r="N96" s="33"/>
      <c r="O96" s="33"/>
      <c r="P96" s="33"/>
      <c r="Q96" s="175">
        <f t="shared" si="24"/>
        <v>1.8594000000000002</v>
      </c>
      <c r="R96" s="27"/>
    </row>
    <row r="97" spans="1:18">
      <c r="A97" s="312"/>
      <c r="B97" s="313"/>
      <c r="C97" s="192" t="s">
        <v>13</v>
      </c>
      <c r="D97" s="209">
        <v>356.39999669307196</v>
      </c>
      <c r="E97" s="53">
        <v>1297.944</v>
      </c>
      <c r="F97" s="193">
        <f t="shared" si="20"/>
        <v>1654.3439966930719</v>
      </c>
      <c r="G97" s="78">
        <v>26.332999999999998</v>
      </c>
      <c r="H97" s="78">
        <v>1813.989</v>
      </c>
      <c r="I97" s="179"/>
      <c r="J97" s="193">
        <f t="shared" si="22"/>
        <v>1813.989</v>
      </c>
      <c r="K97" s="78"/>
      <c r="L97" s="54">
        <v>3.5960000000000001</v>
      </c>
      <c r="M97" s="54"/>
      <c r="N97" s="54"/>
      <c r="O97" s="54"/>
      <c r="P97" s="54"/>
      <c r="Q97" s="180">
        <f t="shared" si="24"/>
        <v>3498.261996693072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20"/>
        <v>0</v>
      </c>
      <c r="G98" s="77">
        <v>0.01</v>
      </c>
      <c r="H98" s="77"/>
      <c r="I98" s="174"/>
      <c r="J98" s="191">
        <f t="shared" si="22"/>
        <v>0</v>
      </c>
      <c r="K98" s="77"/>
      <c r="L98" s="33">
        <v>0.95840000000000003</v>
      </c>
      <c r="M98" s="33"/>
      <c r="N98" s="33"/>
      <c r="O98" s="33"/>
      <c r="P98" s="33"/>
      <c r="Q98" s="175">
        <f t="shared" si="24"/>
        <v>0.96840000000000004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20"/>
        <v>0</v>
      </c>
      <c r="G99" s="78">
        <v>17.646999999999998</v>
      </c>
      <c r="H99" s="78"/>
      <c r="I99" s="179"/>
      <c r="J99" s="193">
        <f t="shared" si="22"/>
        <v>0</v>
      </c>
      <c r="K99" s="78"/>
      <c r="L99" s="54">
        <v>590.78200000000004</v>
      </c>
      <c r="M99" s="54"/>
      <c r="N99" s="54"/>
      <c r="O99" s="54"/>
      <c r="P99" s="54"/>
      <c r="Q99" s="180">
        <f t="shared" si="24"/>
        <v>608.42900000000009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20"/>
        <v>0</v>
      </c>
      <c r="G100" s="77">
        <v>1.4999999999999999E-2</v>
      </c>
      <c r="H100" s="77"/>
      <c r="I100" s="174"/>
      <c r="J100" s="191">
        <f t="shared" si="22"/>
        <v>0</v>
      </c>
      <c r="K100" s="77"/>
      <c r="L100" s="33"/>
      <c r="M100" s="33"/>
      <c r="N100" s="33"/>
      <c r="O100" s="33"/>
      <c r="P100" s="33"/>
      <c r="Q100" s="175">
        <f t="shared" si="24"/>
        <v>1.4999999999999999E-2</v>
      </c>
      <c r="R100" s="27"/>
    </row>
    <row r="101" spans="1:18">
      <c r="A101" s="312"/>
      <c r="B101" s="313"/>
      <c r="C101" s="192" t="s">
        <v>13</v>
      </c>
      <c r="D101" s="209"/>
      <c r="E101" s="53"/>
      <c r="F101" s="193">
        <f t="shared" si="20"/>
        <v>0</v>
      </c>
      <c r="G101" s="78">
        <v>1.62</v>
      </c>
      <c r="H101" s="78"/>
      <c r="I101" s="179"/>
      <c r="J101" s="193">
        <f t="shared" si="22"/>
        <v>0</v>
      </c>
      <c r="K101" s="78"/>
      <c r="L101" s="54"/>
      <c r="M101" s="54"/>
      <c r="N101" s="54"/>
      <c r="O101" s="54"/>
      <c r="P101" s="54"/>
      <c r="Q101" s="180">
        <f t="shared" si="24"/>
        <v>1.62</v>
      </c>
      <c r="R101" s="27"/>
    </row>
    <row r="102" spans="1:18">
      <c r="A102" s="310" t="s">
        <v>70</v>
      </c>
      <c r="B102" s="311"/>
      <c r="C102" s="32" t="s">
        <v>11</v>
      </c>
      <c r="D102" s="52">
        <v>5.1853400000000001</v>
      </c>
      <c r="E102" s="52">
        <v>3.33928</v>
      </c>
      <c r="F102" s="191">
        <f t="shared" si="20"/>
        <v>8.5246200000000005</v>
      </c>
      <c r="G102" s="77">
        <v>11.066599999999999</v>
      </c>
      <c r="H102" s="77">
        <v>118.31399999999999</v>
      </c>
      <c r="I102" s="174"/>
      <c r="J102" s="191">
        <f t="shared" si="22"/>
        <v>118.31399999999999</v>
      </c>
      <c r="K102" s="77">
        <v>31.2197</v>
      </c>
      <c r="L102" s="33">
        <v>5.2065999999999999</v>
      </c>
      <c r="M102" s="33">
        <v>0.44669999999999999</v>
      </c>
      <c r="N102" s="33">
        <v>13.681699999999999</v>
      </c>
      <c r="O102" s="33">
        <v>0.96209999999999996</v>
      </c>
      <c r="P102" s="33">
        <v>4.4092000000000002</v>
      </c>
      <c r="Q102" s="175">
        <f t="shared" si="24"/>
        <v>193.83121999999997</v>
      </c>
      <c r="R102" s="27"/>
    </row>
    <row r="103" spans="1:18">
      <c r="A103" s="312"/>
      <c r="B103" s="313"/>
      <c r="C103" s="192" t="s">
        <v>13</v>
      </c>
      <c r="D103" s="209">
        <v>16633.224565665325</v>
      </c>
      <c r="E103" s="53">
        <v>4269.2610000000004</v>
      </c>
      <c r="F103" s="193">
        <f t="shared" si="20"/>
        <v>20902.485565665324</v>
      </c>
      <c r="G103" s="78">
        <v>7675.6009999999997</v>
      </c>
      <c r="H103" s="78">
        <v>56244.125</v>
      </c>
      <c r="I103" s="179"/>
      <c r="J103" s="193">
        <f t="shared" si="22"/>
        <v>56244.125</v>
      </c>
      <c r="K103" s="78">
        <v>27210.706999999999</v>
      </c>
      <c r="L103" s="54">
        <v>3278.7420000000002</v>
      </c>
      <c r="M103" s="54">
        <f>123.942*1.08</f>
        <v>133.85736</v>
      </c>
      <c r="N103" s="54">
        <v>8044.3429999999998</v>
      </c>
      <c r="O103" s="54">
        <v>736.05799999999999</v>
      </c>
      <c r="P103" s="54">
        <v>6010.7370000000001</v>
      </c>
      <c r="Q103" s="180">
        <f t="shared" si="24"/>
        <v>130236.6559256653</v>
      </c>
      <c r="R103" s="27"/>
    </row>
    <row r="104" spans="1:18">
      <c r="A104" s="314" t="s">
        <v>71</v>
      </c>
      <c r="B104" s="315"/>
      <c r="C104" s="32" t="s">
        <v>11</v>
      </c>
      <c r="D104" s="33">
        <f t="shared" ref="D104:E105" si="29">+D9+D11+D23+D29+D37+D39+D41+D43+D45+D47+D49+D51+D53+D59+D76+D88+D90+D92+D94+D96+D98+D100+D102</f>
        <v>445.17873999999989</v>
      </c>
      <c r="E104" s="33">
        <f t="shared" si="29"/>
        <v>543.62598000000003</v>
      </c>
      <c r="F104" s="191">
        <f t="shared" si="20"/>
        <v>988.80471999999986</v>
      </c>
      <c r="G104" s="49">
        <f t="shared" ref="G104:H105" si="30">+G9+G11+G23+G29+G37+G39+G41+G43+G45+G47+G49+G51+G53+G59+G76+G88+G90+G92+G94+G96+G98+G100+G102</f>
        <v>3854.7367000000008</v>
      </c>
      <c r="H104" s="49">
        <f t="shared" si="30"/>
        <v>8997.1083000000017</v>
      </c>
      <c r="I104" s="50"/>
      <c r="J104" s="191">
        <f t="shared" si="22"/>
        <v>8997.1083000000017</v>
      </c>
      <c r="K104" s="49">
        <f t="shared" ref="K104:P105" si="31">+K9+K11+K23+K29+K37+K39+K41+K43+K45+K47+K49+K51+K53+K59+K76+K88+K90+K92+K94+K96+K98+K100+K102</f>
        <v>3463.1743999999999</v>
      </c>
      <c r="L104" s="33">
        <f t="shared" si="31"/>
        <v>178.66880000000003</v>
      </c>
      <c r="M104" s="33">
        <f t="shared" si="31"/>
        <v>0.62369999999999992</v>
      </c>
      <c r="N104" s="33">
        <f t="shared" si="31"/>
        <v>61.028799999999997</v>
      </c>
      <c r="O104" s="33">
        <f t="shared" si="31"/>
        <v>2.7091000000000003</v>
      </c>
      <c r="P104" s="33">
        <f t="shared" si="31"/>
        <v>34.548549999999999</v>
      </c>
      <c r="Q104" s="175">
        <f t="shared" si="24"/>
        <v>17581.40307</v>
      </c>
      <c r="R104" s="27"/>
    </row>
    <row r="105" spans="1:18">
      <c r="A105" s="316"/>
      <c r="B105" s="317"/>
      <c r="C105" s="192" t="s">
        <v>13</v>
      </c>
      <c r="D105" s="54">
        <f t="shared" si="29"/>
        <v>295125.0837816234</v>
      </c>
      <c r="E105" s="54">
        <f t="shared" si="29"/>
        <v>315084.64899999992</v>
      </c>
      <c r="F105" s="193">
        <f t="shared" si="20"/>
        <v>610209.73278162326</v>
      </c>
      <c r="G105" s="68">
        <f t="shared" si="30"/>
        <v>871292.14099999995</v>
      </c>
      <c r="H105" s="68">
        <f t="shared" si="30"/>
        <v>1108853.3130000001</v>
      </c>
      <c r="I105" s="63"/>
      <c r="J105" s="193">
        <f t="shared" si="22"/>
        <v>1108853.3130000001</v>
      </c>
      <c r="K105" s="68">
        <f t="shared" si="31"/>
        <v>311519.45100000006</v>
      </c>
      <c r="L105" s="54">
        <f t="shared" si="31"/>
        <v>78857.785999999993</v>
      </c>
      <c r="M105" s="54">
        <f t="shared" si="31"/>
        <v>232.33068</v>
      </c>
      <c r="N105" s="54">
        <f t="shared" si="31"/>
        <v>35158.137999999999</v>
      </c>
      <c r="O105" s="54">
        <f t="shared" si="31"/>
        <v>1989.7550000000001</v>
      </c>
      <c r="P105" s="54">
        <f t="shared" si="31"/>
        <v>25211.86</v>
      </c>
      <c r="Q105" s="180">
        <f t="shared" si="24"/>
        <v>3043324.5074616228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20"/>
        <v>0</v>
      </c>
      <c r="G106" s="77"/>
      <c r="H106" s="77">
        <v>0.6573</v>
      </c>
      <c r="I106" s="174"/>
      <c r="J106" s="191">
        <f t="shared" si="22"/>
        <v>0.6573</v>
      </c>
      <c r="K106" s="77">
        <v>0.1024</v>
      </c>
      <c r="L106" s="33"/>
      <c r="M106" s="33"/>
      <c r="N106" s="33"/>
      <c r="O106" s="33">
        <v>0</v>
      </c>
      <c r="P106" s="33"/>
      <c r="Q106" s="175">
        <f t="shared" si="24"/>
        <v>0.75970000000000004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20"/>
        <v>0</v>
      </c>
      <c r="G107" s="78"/>
      <c r="H107" s="78">
        <v>2514.6689999999999</v>
      </c>
      <c r="I107" s="179"/>
      <c r="J107" s="193">
        <f t="shared" si="22"/>
        <v>2514.6689999999999</v>
      </c>
      <c r="K107" s="78">
        <v>434.34399999999999</v>
      </c>
      <c r="L107" s="54"/>
      <c r="M107" s="54"/>
      <c r="N107" s="54"/>
      <c r="O107" s="54">
        <v>2444.9580000000001</v>
      </c>
      <c r="P107" s="54"/>
      <c r="Q107" s="180">
        <f t="shared" si="24"/>
        <v>5393.9709999999995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2.9961000000000002</v>
      </c>
      <c r="E108" s="52">
        <v>0.62629999999999997</v>
      </c>
      <c r="F108" s="191">
        <f t="shared" si="20"/>
        <v>3.6224000000000003</v>
      </c>
      <c r="G108" s="77">
        <v>7.2328000000000001</v>
      </c>
      <c r="H108" s="77">
        <v>23.756399999999999</v>
      </c>
      <c r="I108" s="174"/>
      <c r="J108" s="191">
        <f t="shared" si="22"/>
        <v>23.756399999999999</v>
      </c>
      <c r="K108" s="77">
        <v>2.7911000000000001</v>
      </c>
      <c r="L108" s="33">
        <v>7.1307</v>
      </c>
      <c r="M108" s="33"/>
      <c r="N108" s="33">
        <v>8.6599999999999996E-2</v>
      </c>
      <c r="O108" s="33">
        <v>1.2239</v>
      </c>
      <c r="P108" s="33">
        <v>9.0999999999999998E-2</v>
      </c>
      <c r="Q108" s="175">
        <f t="shared" si="24"/>
        <v>45.934899999999992</v>
      </c>
      <c r="R108" s="27"/>
    </row>
    <row r="109" spans="1:18">
      <c r="A109" s="176" t="s">
        <v>0</v>
      </c>
      <c r="B109" s="307"/>
      <c r="C109" s="192" t="s">
        <v>13</v>
      </c>
      <c r="D109" s="209">
        <v>2028.1989411809539</v>
      </c>
      <c r="E109" s="53">
        <v>572.75099999999998</v>
      </c>
      <c r="F109" s="193">
        <f t="shared" si="20"/>
        <v>2600.9499411809538</v>
      </c>
      <c r="G109" s="78">
        <v>6617.06</v>
      </c>
      <c r="H109" s="78">
        <v>13042.107</v>
      </c>
      <c r="I109" s="179"/>
      <c r="J109" s="193">
        <f t="shared" si="22"/>
        <v>13042.107</v>
      </c>
      <c r="K109" s="78">
        <v>1780.663</v>
      </c>
      <c r="L109" s="54">
        <v>5698.4070000000002</v>
      </c>
      <c r="M109" s="54"/>
      <c r="N109" s="54">
        <v>44.225999999999999</v>
      </c>
      <c r="O109" s="54">
        <v>868.65700000000004</v>
      </c>
      <c r="P109" s="54">
        <v>56.192</v>
      </c>
      <c r="Q109" s="180">
        <f t="shared" si="24"/>
        <v>30708.26194118095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6.2054999999999998</v>
      </c>
      <c r="E110" s="52">
        <v>211.89609999999999</v>
      </c>
      <c r="F110" s="191">
        <f t="shared" si="20"/>
        <v>218.10159999999999</v>
      </c>
      <c r="G110" s="77">
        <v>17.869599999999998</v>
      </c>
      <c r="H110" s="77">
        <v>1166.0279</v>
      </c>
      <c r="I110" s="174"/>
      <c r="J110" s="191">
        <f t="shared" si="22"/>
        <v>1166.0279</v>
      </c>
      <c r="K110" s="77">
        <v>139.89259999999999</v>
      </c>
      <c r="L110" s="33">
        <v>2.8405999999999998</v>
      </c>
      <c r="M110" s="33"/>
      <c r="N110" s="33"/>
      <c r="O110" s="33"/>
      <c r="P110" s="33"/>
      <c r="Q110" s="175">
        <f t="shared" si="24"/>
        <v>1544.7322999999999</v>
      </c>
      <c r="R110" s="27"/>
    </row>
    <row r="111" spans="1:18">
      <c r="A111" s="176"/>
      <c r="B111" s="307"/>
      <c r="C111" s="192" t="s">
        <v>13</v>
      </c>
      <c r="D111" s="209">
        <v>3817.3949645795437</v>
      </c>
      <c r="E111" s="53">
        <v>47663.084999999999</v>
      </c>
      <c r="F111" s="193">
        <f t="shared" si="20"/>
        <v>51480.479964579543</v>
      </c>
      <c r="G111" s="78">
        <v>10690.237999999999</v>
      </c>
      <c r="H111" s="78">
        <v>313177.75400000002</v>
      </c>
      <c r="I111" s="179"/>
      <c r="J111" s="193">
        <f t="shared" si="22"/>
        <v>313177.75400000002</v>
      </c>
      <c r="K111" s="78">
        <v>43589.186999999998</v>
      </c>
      <c r="L111" s="54">
        <v>2379.8760000000002</v>
      </c>
      <c r="M111" s="54"/>
      <c r="N111" s="54"/>
      <c r="O111" s="54"/>
      <c r="P111" s="54"/>
      <c r="Q111" s="180">
        <f t="shared" si="24"/>
        <v>421317.53496457951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2.4E-2</v>
      </c>
      <c r="E112" s="52">
        <v>9.8799999999999999E-2</v>
      </c>
      <c r="F112" s="191">
        <f t="shared" si="20"/>
        <v>0.12279999999999999</v>
      </c>
      <c r="G112" s="77">
        <v>7.8299999999999995E-2</v>
      </c>
      <c r="H112" s="77">
        <v>0.65839999999999999</v>
      </c>
      <c r="I112" s="174"/>
      <c r="J112" s="191">
        <f t="shared" si="22"/>
        <v>0.65839999999999999</v>
      </c>
      <c r="K112" s="77">
        <v>2.3400000000000001E-2</v>
      </c>
      <c r="L112" s="33">
        <v>9.9000000000000008E-3</v>
      </c>
      <c r="M112" s="33">
        <v>5.4000000000000003E-3</v>
      </c>
      <c r="N112" s="33"/>
      <c r="O112" s="33"/>
      <c r="P112" s="33">
        <v>0.25090000000000001</v>
      </c>
      <c r="Q112" s="175">
        <f t="shared" si="24"/>
        <v>1.1490999999999998</v>
      </c>
      <c r="R112" s="27"/>
    </row>
    <row r="113" spans="1:18">
      <c r="A113" s="176"/>
      <c r="B113" s="307"/>
      <c r="C113" s="192" t="s">
        <v>13</v>
      </c>
      <c r="D113" s="209">
        <v>99.791999074060143</v>
      </c>
      <c r="E113" s="53">
        <v>126.673</v>
      </c>
      <c r="F113" s="193">
        <f t="shared" si="20"/>
        <v>226.46499907406013</v>
      </c>
      <c r="G113" s="78">
        <v>93.174000000000007</v>
      </c>
      <c r="H113" s="78">
        <v>696.28599999999994</v>
      </c>
      <c r="I113" s="179"/>
      <c r="J113" s="193">
        <f t="shared" si="22"/>
        <v>696.28599999999994</v>
      </c>
      <c r="K113" s="78">
        <v>24.893999999999998</v>
      </c>
      <c r="L113" s="54">
        <v>6.2960000000000003</v>
      </c>
      <c r="M113" s="54">
        <f>3.366*1.08</f>
        <v>3.6352800000000003</v>
      </c>
      <c r="N113" s="54"/>
      <c r="O113" s="54"/>
      <c r="P113" s="54">
        <v>149.839</v>
      </c>
      <c r="Q113" s="180">
        <f t="shared" si="24"/>
        <v>1200.58927907406</v>
      </c>
      <c r="R113" s="27"/>
    </row>
    <row r="114" spans="1:18">
      <c r="A114" s="176"/>
      <c r="B114" s="306" t="s">
        <v>78</v>
      </c>
      <c r="C114" s="32" t="s">
        <v>11</v>
      </c>
      <c r="D114" s="52">
        <v>0.86109999999999998</v>
      </c>
      <c r="E114" s="52">
        <v>1.0185</v>
      </c>
      <c r="F114" s="191">
        <f t="shared" si="20"/>
        <v>1.8795999999999999</v>
      </c>
      <c r="G114" s="77">
        <v>0.1663</v>
      </c>
      <c r="H114" s="77">
        <v>0.68659999999999999</v>
      </c>
      <c r="I114" s="174"/>
      <c r="J114" s="191">
        <f t="shared" si="22"/>
        <v>0.68659999999999999</v>
      </c>
      <c r="K114" s="77">
        <v>0.2387</v>
      </c>
      <c r="L114" s="33">
        <v>0.5161</v>
      </c>
      <c r="M114" s="33">
        <v>0.51600000000000001</v>
      </c>
      <c r="N114" s="33">
        <v>1.4413</v>
      </c>
      <c r="O114" s="33">
        <v>4.0000000000000001E-3</v>
      </c>
      <c r="P114" s="33">
        <v>3.9329000000000001</v>
      </c>
      <c r="Q114" s="175">
        <f t="shared" si="24"/>
        <v>9.3814999999999991</v>
      </c>
      <c r="R114" s="27"/>
    </row>
    <row r="115" spans="1:18">
      <c r="A115" s="176"/>
      <c r="B115" s="307"/>
      <c r="C115" s="192" t="s">
        <v>13</v>
      </c>
      <c r="D115" s="209">
        <v>1354.4117874328217</v>
      </c>
      <c r="E115" s="53">
        <v>844.01400000000001</v>
      </c>
      <c r="F115" s="193">
        <f t="shared" si="20"/>
        <v>2198.4257874328218</v>
      </c>
      <c r="G115" s="78">
        <v>162.81700000000001</v>
      </c>
      <c r="H115" s="78">
        <v>1145.5550000000001</v>
      </c>
      <c r="I115" s="179"/>
      <c r="J115" s="193">
        <f t="shared" si="22"/>
        <v>1145.5550000000001</v>
      </c>
      <c r="K115" s="78">
        <v>134.54400000000001</v>
      </c>
      <c r="L115" s="54">
        <v>155.881</v>
      </c>
      <c r="M115" s="54">
        <f>241.933*1.08</f>
        <v>261.28764000000001</v>
      </c>
      <c r="N115" s="54">
        <v>896.49</v>
      </c>
      <c r="O115" s="54">
        <v>0.432</v>
      </c>
      <c r="P115" s="54">
        <v>3005.5169999999998</v>
      </c>
      <c r="Q115" s="180">
        <f t="shared" si="24"/>
        <v>7960.9494274328208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0"/>
        <v>0</v>
      </c>
      <c r="G116" s="77"/>
      <c r="H116" s="77"/>
      <c r="I116" s="174"/>
      <c r="J116" s="191">
        <f t="shared" si="22"/>
        <v>0</v>
      </c>
      <c r="K116" s="77"/>
      <c r="L116" s="33"/>
      <c r="M116" s="33"/>
      <c r="N116" s="33"/>
      <c r="O116" s="33"/>
      <c r="P116" s="33"/>
      <c r="Q116" s="175">
        <f t="shared" si="24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0"/>
        <v>0</v>
      </c>
      <c r="G117" s="78"/>
      <c r="H117" s="78"/>
      <c r="I117" s="179"/>
      <c r="J117" s="193">
        <f t="shared" si="22"/>
        <v>0</v>
      </c>
      <c r="K117" s="78"/>
      <c r="L117" s="54"/>
      <c r="M117" s="54"/>
      <c r="N117" s="54"/>
      <c r="O117" s="54"/>
      <c r="P117" s="54"/>
      <c r="Q117" s="180">
        <f t="shared" si="24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5.7299999999999997E-2</v>
      </c>
      <c r="E118" s="52">
        <v>9.4E-2</v>
      </c>
      <c r="F118" s="191">
        <f t="shared" si="20"/>
        <v>0.15129999999999999</v>
      </c>
      <c r="G118" s="77">
        <v>0.32850000000000001</v>
      </c>
      <c r="H118" s="77">
        <v>8.8826000000000001</v>
      </c>
      <c r="I118" s="174"/>
      <c r="J118" s="191">
        <f t="shared" si="22"/>
        <v>8.8826000000000001</v>
      </c>
      <c r="K118" s="77">
        <v>4.1599999999999998E-2</v>
      </c>
      <c r="L118" s="33"/>
      <c r="M118" s="33"/>
      <c r="N118" s="33"/>
      <c r="O118" s="33"/>
      <c r="P118" s="33">
        <v>5.8400000000000001E-2</v>
      </c>
      <c r="Q118" s="175">
        <f t="shared" si="24"/>
        <v>9.4624000000000024</v>
      </c>
      <c r="R118" s="27"/>
    </row>
    <row r="119" spans="1:18">
      <c r="A119" s="176"/>
      <c r="B119" s="307"/>
      <c r="C119" s="192" t="s">
        <v>13</v>
      </c>
      <c r="D119" s="209">
        <v>107.56799900190897</v>
      </c>
      <c r="E119" s="53">
        <v>111.61799999999999</v>
      </c>
      <c r="F119" s="193">
        <f t="shared" si="20"/>
        <v>219.18599900190895</v>
      </c>
      <c r="G119" s="78">
        <v>371.24799999999999</v>
      </c>
      <c r="H119" s="78">
        <v>21100.629000000001</v>
      </c>
      <c r="I119" s="179"/>
      <c r="J119" s="193">
        <f t="shared" si="22"/>
        <v>21100.629000000001</v>
      </c>
      <c r="K119" s="78">
        <v>41.222999999999999</v>
      </c>
      <c r="L119" s="54"/>
      <c r="M119" s="54"/>
      <c r="N119" s="54"/>
      <c r="O119" s="54"/>
      <c r="P119" s="54">
        <v>83.650999999999996</v>
      </c>
      <c r="Q119" s="180">
        <f t="shared" si="24"/>
        <v>21815.936999001911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/>
      <c r="E120" s="52">
        <v>1.9615</v>
      </c>
      <c r="F120" s="191">
        <f t="shared" si="20"/>
        <v>1.9615</v>
      </c>
      <c r="G120" s="77"/>
      <c r="H120" s="77">
        <v>1.9182999999999999</v>
      </c>
      <c r="I120" s="174"/>
      <c r="J120" s="191">
        <f t="shared" si="22"/>
        <v>1.9182999999999999</v>
      </c>
      <c r="K120" s="77">
        <v>1.1100000000000001</v>
      </c>
      <c r="L120" s="33"/>
      <c r="M120" s="33"/>
      <c r="N120" s="33"/>
      <c r="O120" s="33"/>
      <c r="P120" s="33"/>
      <c r="Q120" s="175">
        <f t="shared" si="24"/>
        <v>4.9897999999999998</v>
      </c>
      <c r="R120" s="27"/>
    </row>
    <row r="121" spans="1:18">
      <c r="A121" s="176"/>
      <c r="B121" s="307"/>
      <c r="C121" s="192" t="s">
        <v>13</v>
      </c>
      <c r="D121" s="209"/>
      <c r="E121" s="53">
        <v>844.12800000000004</v>
      </c>
      <c r="F121" s="193">
        <f t="shared" si="20"/>
        <v>844.12800000000004</v>
      </c>
      <c r="G121" s="78"/>
      <c r="H121" s="78">
        <v>3480.1579999999999</v>
      </c>
      <c r="I121" s="179"/>
      <c r="J121" s="193">
        <f t="shared" si="22"/>
        <v>3480.1579999999999</v>
      </c>
      <c r="K121" s="78">
        <v>79.92</v>
      </c>
      <c r="L121" s="54"/>
      <c r="M121" s="54"/>
      <c r="N121" s="54"/>
      <c r="O121" s="54"/>
      <c r="P121" s="54"/>
      <c r="Q121" s="180">
        <f t="shared" si="24"/>
        <v>4404.2060000000001</v>
      </c>
      <c r="R121" s="27"/>
    </row>
    <row r="122" spans="1:18">
      <c r="A122" s="176"/>
      <c r="B122" s="306" t="s">
        <v>84</v>
      </c>
      <c r="C122" s="32" t="s">
        <v>11</v>
      </c>
      <c r="D122" s="52">
        <v>9.4169999999999998</v>
      </c>
      <c r="E122" s="52">
        <v>3.5000000000000003E-2</v>
      </c>
      <c r="F122" s="191">
        <f t="shared" si="20"/>
        <v>9.452</v>
      </c>
      <c r="G122" s="77">
        <v>2.2968000000000002</v>
      </c>
      <c r="H122" s="77">
        <v>2.6402000000000001</v>
      </c>
      <c r="I122" s="174"/>
      <c r="J122" s="191">
        <f t="shared" si="22"/>
        <v>2.6402000000000001</v>
      </c>
      <c r="K122" s="77">
        <v>0.09</v>
      </c>
      <c r="L122" s="33">
        <v>1.206</v>
      </c>
      <c r="M122" s="33">
        <v>8.4121000000000006</v>
      </c>
      <c r="N122" s="33">
        <v>3.2149000000000001</v>
      </c>
      <c r="O122" s="33"/>
      <c r="P122" s="33"/>
      <c r="Q122" s="175">
        <f t="shared" si="24"/>
        <v>27.311999999999998</v>
      </c>
      <c r="R122" s="27"/>
    </row>
    <row r="123" spans="1:18">
      <c r="A123" s="176"/>
      <c r="B123" s="307"/>
      <c r="C123" s="192" t="s">
        <v>13</v>
      </c>
      <c r="D123" s="209">
        <v>5514.4745488328535</v>
      </c>
      <c r="E123" s="53">
        <v>20.52</v>
      </c>
      <c r="F123" s="193">
        <f t="shared" si="20"/>
        <v>5534.994548832854</v>
      </c>
      <c r="G123" s="78">
        <v>3843.6709999999998</v>
      </c>
      <c r="H123" s="78">
        <v>2426.4160000000002</v>
      </c>
      <c r="I123" s="179"/>
      <c r="J123" s="193">
        <f t="shared" si="22"/>
        <v>2426.4160000000002</v>
      </c>
      <c r="K123" s="78">
        <v>63.18</v>
      </c>
      <c r="L123" s="54">
        <v>2112.502</v>
      </c>
      <c r="M123" s="54">
        <f>16096.012*1.08</f>
        <v>17383.69296</v>
      </c>
      <c r="N123" s="54">
        <v>4824.2299999999996</v>
      </c>
      <c r="O123" s="54"/>
      <c r="P123" s="54"/>
      <c r="Q123" s="180">
        <f t="shared" si="24"/>
        <v>36188.686508832856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1.1074999999999999</v>
      </c>
      <c r="E124" s="52">
        <v>1.4E-2</v>
      </c>
      <c r="F124" s="191">
        <f t="shared" si="20"/>
        <v>1.1214999999999999</v>
      </c>
      <c r="G124" s="77">
        <v>0.40670000000000001</v>
      </c>
      <c r="H124" s="77">
        <v>3.5352000000000001</v>
      </c>
      <c r="I124" s="174"/>
      <c r="J124" s="191">
        <f t="shared" si="22"/>
        <v>3.5352000000000001</v>
      </c>
      <c r="K124" s="77">
        <v>0.79120000000000001</v>
      </c>
      <c r="L124" s="33">
        <v>0.97840000000000005</v>
      </c>
      <c r="M124" s="33">
        <v>0.40600000000000003</v>
      </c>
      <c r="N124" s="33">
        <v>0.11600000000000001</v>
      </c>
      <c r="O124" s="33">
        <v>7.0599999999999996E-2</v>
      </c>
      <c r="P124" s="33">
        <v>0.37509999999999999</v>
      </c>
      <c r="Q124" s="175">
        <f t="shared" si="24"/>
        <v>7.8006999999999982</v>
      </c>
      <c r="R124" s="27"/>
    </row>
    <row r="125" spans="1:18">
      <c r="A125" s="27"/>
      <c r="B125" s="307"/>
      <c r="C125" s="192" t="s">
        <v>13</v>
      </c>
      <c r="D125" s="209">
        <v>2341.4399782744849</v>
      </c>
      <c r="E125" s="53">
        <v>39.851999999999997</v>
      </c>
      <c r="F125" s="193">
        <f t="shared" si="20"/>
        <v>2381.2919782744848</v>
      </c>
      <c r="G125" s="78">
        <v>167.29300000000001</v>
      </c>
      <c r="H125" s="78">
        <v>8881.2049999999999</v>
      </c>
      <c r="I125" s="179"/>
      <c r="J125" s="193">
        <f t="shared" si="22"/>
        <v>8881.2049999999999</v>
      </c>
      <c r="K125" s="78">
        <v>280.52499999999998</v>
      </c>
      <c r="L125" s="54">
        <v>705.02</v>
      </c>
      <c r="M125" s="54">
        <f>194.296*1.08</f>
        <v>209.83968000000002</v>
      </c>
      <c r="N125" s="54">
        <v>62.899000000000001</v>
      </c>
      <c r="O125" s="54">
        <v>326.67899999999997</v>
      </c>
      <c r="P125" s="54">
        <v>2477.2199999999998</v>
      </c>
      <c r="Q125" s="180">
        <f t="shared" si="24"/>
        <v>15491.972658274482</v>
      </c>
      <c r="R125" s="27"/>
    </row>
    <row r="126" spans="1:18">
      <c r="A126" s="27"/>
      <c r="B126" s="46" t="s">
        <v>15</v>
      </c>
      <c r="C126" s="32" t="s">
        <v>11</v>
      </c>
      <c r="D126" s="52"/>
      <c r="E126" s="52"/>
      <c r="F126" s="191">
        <f t="shared" si="20"/>
        <v>0</v>
      </c>
      <c r="G126" s="77">
        <v>0.03</v>
      </c>
      <c r="H126" s="77">
        <v>5.9499999999999997E-2</v>
      </c>
      <c r="I126" s="174"/>
      <c r="J126" s="191">
        <f t="shared" si="22"/>
        <v>5.9499999999999997E-2</v>
      </c>
      <c r="K126" s="77"/>
      <c r="L126" s="33">
        <v>4.8000000000000001E-2</v>
      </c>
      <c r="M126" s="33"/>
      <c r="N126" s="33"/>
      <c r="O126" s="33"/>
      <c r="P126" s="33"/>
      <c r="Q126" s="175">
        <f t="shared" si="24"/>
        <v>0.13750000000000001</v>
      </c>
      <c r="R126" s="27"/>
    </row>
    <row r="127" spans="1:18">
      <c r="A127" s="27"/>
      <c r="B127" s="177" t="s">
        <v>86</v>
      </c>
      <c r="C127" s="192" t="s">
        <v>13</v>
      </c>
      <c r="D127" s="209"/>
      <c r="E127" s="53"/>
      <c r="F127" s="193">
        <f t="shared" si="20"/>
        <v>0</v>
      </c>
      <c r="G127" s="78">
        <v>73.245999999999995</v>
      </c>
      <c r="H127" s="78">
        <v>1175.8610000000001</v>
      </c>
      <c r="I127" s="179"/>
      <c r="J127" s="193">
        <f t="shared" si="22"/>
        <v>1175.8610000000001</v>
      </c>
      <c r="K127" s="78"/>
      <c r="L127" s="54">
        <v>72.575999999999993</v>
      </c>
      <c r="M127" s="54"/>
      <c r="N127" s="54"/>
      <c r="O127" s="54"/>
      <c r="P127" s="54"/>
      <c r="Q127" s="180">
        <f t="shared" si="24"/>
        <v>1321.6830000000002</v>
      </c>
      <c r="R127" s="27"/>
    </row>
    <row r="128" spans="1:18">
      <c r="A128" s="27"/>
      <c r="B128" s="308" t="s">
        <v>19</v>
      </c>
      <c r="C128" s="32" t="s">
        <v>11</v>
      </c>
      <c r="D128" s="33">
        <f t="shared" ref="D128:E129" si="32">+D106+D108+D110+D112+D114+D116+D118+D120+D122+D124+D126</f>
        <v>20.668500000000002</v>
      </c>
      <c r="E128" s="33">
        <f t="shared" si="32"/>
        <v>215.74419999999998</v>
      </c>
      <c r="F128" s="191">
        <f t="shared" si="20"/>
        <v>236.41269999999997</v>
      </c>
      <c r="G128" s="49">
        <f t="shared" ref="G128:H129" si="33">+G106+G108+G110+G112+G114+G116+G118+G120+G122+G124+G126</f>
        <v>28.409000000000002</v>
      </c>
      <c r="H128" s="49">
        <f t="shared" si="33"/>
        <v>1208.8224000000002</v>
      </c>
      <c r="I128" s="50"/>
      <c r="J128" s="191">
        <f t="shared" si="22"/>
        <v>1208.8224000000002</v>
      </c>
      <c r="K128" s="49">
        <f t="shared" ref="K128:P129" si="34">+K106+K108+K110+K112+K114+K116+K118+K120+K122+K124+K126</f>
        <v>145.08099999999999</v>
      </c>
      <c r="L128" s="33">
        <f t="shared" si="34"/>
        <v>12.729699999999999</v>
      </c>
      <c r="M128" s="33">
        <f t="shared" si="34"/>
        <v>9.339500000000001</v>
      </c>
      <c r="N128" s="33">
        <f t="shared" si="34"/>
        <v>4.8587999999999996</v>
      </c>
      <c r="O128" s="33">
        <f t="shared" si="34"/>
        <v>1.2985</v>
      </c>
      <c r="P128" s="33">
        <f t="shared" si="34"/>
        <v>4.7082999999999995</v>
      </c>
      <c r="Q128" s="175">
        <f t="shared" si="24"/>
        <v>1651.6599000000003</v>
      </c>
      <c r="R128" s="27"/>
    </row>
    <row r="129" spans="1:18">
      <c r="A129" s="183"/>
      <c r="B129" s="309"/>
      <c r="C129" s="192" t="s">
        <v>13</v>
      </c>
      <c r="D129" s="54">
        <f t="shared" si="32"/>
        <v>15263.280218376625</v>
      </c>
      <c r="E129" s="54">
        <f t="shared" si="32"/>
        <v>50222.640999999996</v>
      </c>
      <c r="F129" s="193">
        <f t="shared" si="20"/>
        <v>65485.921218376621</v>
      </c>
      <c r="G129" s="68">
        <f t="shared" si="33"/>
        <v>22018.746999999996</v>
      </c>
      <c r="H129" s="68">
        <f t="shared" si="33"/>
        <v>367640.64000000007</v>
      </c>
      <c r="I129" s="63"/>
      <c r="J129" s="193">
        <f t="shared" si="22"/>
        <v>367640.64000000007</v>
      </c>
      <c r="K129" s="68">
        <f t="shared" si="34"/>
        <v>46428.479999999996</v>
      </c>
      <c r="L129" s="54">
        <f t="shared" si="34"/>
        <v>11130.558000000001</v>
      </c>
      <c r="M129" s="54">
        <f t="shared" si="34"/>
        <v>17858.455560000002</v>
      </c>
      <c r="N129" s="54">
        <f t="shared" si="34"/>
        <v>5827.8450000000003</v>
      </c>
      <c r="O129" s="54">
        <f t="shared" si="34"/>
        <v>3640.7260000000001</v>
      </c>
      <c r="P129" s="54">
        <f t="shared" si="34"/>
        <v>5772.4189999999999</v>
      </c>
      <c r="Q129" s="180">
        <f t="shared" si="24"/>
        <v>545803.79177837668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0"/>
        <v>0</v>
      </c>
      <c r="G130" s="77">
        <v>0</v>
      </c>
      <c r="H130" s="77"/>
      <c r="I130" s="174"/>
      <c r="J130" s="191">
        <f t="shared" si="22"/>
        <v>0</v>
      </c>
      <c r="K130" s="77"/>
      <c r="L130" s="33"/>
      <c r="M130" s="33"/>
      <c r="N130" s="33"/>
      <c r="O130" s="33"/>
      <c r="P130" s="33"/>
      <c r="Q130" s="175">
        <f t="shared" si="24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0"/>
        <v>0</v>
      </c>
      <c r="G131" s="78">
        <v>6.1340000000000003</v>
      </c>
      <c r="H131" s="78"/>
      <c r="I131" s="179"/>
      <c r="J131" s="193">
        <f t="shared" si="22"/>
        <v>0</v>
      </c>
      <c r="K131" s="78"/>
      <c r="L131" s="54"/>
      <c r="M131" s="54"/>
      <c r="N131" s="54"/>
      <c r="O131" s="54"/>
      <c r="P131" s="54"/>
      <c r="Q131" s="180">
        <f t="shared" si="24"/>
        <v>6.1340000000000003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20"/>
        <v>0</v>
      </c>
      <c r="G132" s="77">
        <v>7.8182</v>
      </c>
      <c r="H132" s="77"/>
      <c r="I132" s="174"/>
      <c r="J132" s="191">
        <f t="shared" si="22"/>
        <v>0</v>
      </c>
      <c r="K132" s="77"/>
      <c r="L132" s="33"/>
      <c r="M132" s="33"/>
      <c r="N132" s="33"/>
      <c r="O132" s="33"/>
      <c r="P132" s="33"/>
      <c r="Q132" s="175">
        <f t="shared" si="24"/>
        <v>7.8182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20"/>
        <v>0</v>
      </c>
      <c r="G133" s="78">
        <v>2354.6489999999999</v>
      </c>
      <c r="H133" s="78"/>
      <c r="I133" s="179"/>
      <c r="J133" s="193">
        <f t="shared" si="22"/>
        <v>0</v>
      </c>
      <c r="K133" s="78"/>
      <c r="L133" s="54"/>
      <c r="M133" s="54"/>
      <c r="N133" s="54"/>
      <c r="O133" s="54"/>
      <c r="P133" s="54"/>
      <c r="Q133" s="197">
        <f t="shared" si="24"/>
        <v>2354.6489999999999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35">SUM(D134:E134)</f>
        <v>0</v>
      </c>
      <c r="G134" s="139">
        <v>7.22E-2</v>
      </c>
      <c r="H134" s="139">
        <v>1.6957</v>
      </c>
      <c r="I134" s="200"/>
      <c r="J134" s="199">
        <f t="shared" ref="J134:J142" si="36">SUM(H134:I134)</f>
        <v>1.6957</v>
      </c>
      <c r="K134" s="139"/>
      <c r="L134" s="93"/>
      <c r="M134" s="93"/>
      <c r="N134" s="93"/>
      <c r="O134" s="93"/>
      <c r="P134" s="93"/>
      <c r="Q134" s="175">
        <f t="shared" si="24"/>
        <v>1.7679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35"/>
        <v>0</v>
      </c>
      <c r="G135" s="77"/>
      <c r="H135" s="77"/>
      <c r="I135" s="174"/>
      <c r="J135" s="201">
        <f t="shared" si="36"/>
        <v>0</v>
      </c>
      <c r="K135" s="77"/>
      <c r="L135" s="33"/>
      <c r="M135" s="49"/>
      <c r="N135" s="161"/>
      <c r="O135" s="33"/>
      <c r="P135" s="161"/>
      <c r="Q135" s="175">
        <f t="shared" si="24"/>
        <v>0</v>
      </c>
      <c r="R135" s="27"/>
    </row>
    <row r="136" spans="1:18">
      <c r="A136" s="176" t="s">
        <v>18</v>
      </c>
      <c r="B136" s="54"/>
      <c r="C136" s="192" t="s">
        <v>13</v>
      </c>
      <c r="D136" s="209"/>
      <c r="E136" s="53"/>
      <c r="F136" s="202">
        <f t="shared" si="35"/>
        <v>0</v>
      </c>
      <c r="G136" s="78">
        <v>73.498000000000005</v>
      </c>
      <c r="H136" s="103">
        <v>361.42200000000003</v>
      </c>
      <c r="I136" s="179"/>
      <c r="J136" s="202">
        <f t="shared" si="36"/>
        <v>361.42200000000003</v>
      </c>
      <c r="K136" s="103"/>
      <c r="L136" s="54"/>
      <c r="M136" s="92"/>
      <c r="N136" s="54"/>
      <c r="O136" s="54"/>
      <c r="P136" s="54"/>
      <c r="Q136" s="197">
        <f t="shared" si="24"/>
        <v>434.92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35"/>
        <v>0</v>
      </c>
      <c r="G137" s="49">
        <f>+G130+G132+G134</f>
        <v>7.8903999999999996</v>
      </c>
      <c r="H137" s="49">
        <f t="shared" ref="H137" si="37">+H130+H132+H134</f>
        <v>1.6957</v>
      </c>
      <c r="I137" s="47"/>
      <c r="J137" s="199">
        <f t="shared" si="36"/>
        <v>1.6957</v>
      </c>
      <c r="K137" s="49"/>
      <c r="L137" s="33"/>
      <c r="M137" s="97"/>
      <c r="N137" s="160"/>
      <c r="O137" s="93"/>
      <c r="P137" s="93"/>
      <c r="Q137" s="175">
        <f t="shared" si="24"/>
        <v>9.5861000000000001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35"/>
        <v>0</v>
      </c>
      <c r="G138" s="98"/>
      <c r="H138" s="49"/>
      <c r="I138" s="50"/>
      <c r="J138" s="201">
        <f t="shared" si="36"/>
        <v>0</v>
      </c>
      <c r="K138" s="49"/>
      <c r="L138" s="33"/>
      <c r="M138" s="69"/>
      <c r="N138" s="69"/>
      <c r="O138" s="33"/>
      <c r="P138" s="33"/>
      <c r="Q138" s="175">
        <f t="shared" si="24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35"/>
        <v>0</v>
      </c>
      <c r="G139" s="68">
        <f>+G131+G133+G136</f>
        <v>2434.2809999999999</v>
      </c>
      <c r="H139" s="68">
        <f t="shared" ref="H139" si="38">+H131+H133+H136</f>
        <v>361.42200000000003</v>
      </c>
      <c r="I139" s="63"/>
      <c r="J139" s="202">
        <f t="shared" si="36"/>
        <v>361.42200000000003</v>
      </c>
      <c r="K139" s="68"/>
      <c r="L139" s="54"/>
      <c r="M139" s="70"/>
      <c r="N139" s="70"/>
      <c r="O139" s="54"/>
      <c r="P139" s="54"/>
      <c r="Q139" s="197">
        <f t="shared" si="24"/>
        <v>2795.703</v>
      </c>
      <c r="R139" s="27"/>
    </row>
    <row r="140" spans="1:18">
      <c r="A140" s="27"/>
      <c r="B140" s="28" t="s">
        <v>0</v>
      </c>
      <c r="C140" s="29" t="s">
        <v>11</v>
      </c>
      <c r="D140" s="126">
        <f t="shared" ref="D140" si="39">D137+D128+D104</f>
        <v>465.84723999999989</v>
      </c>
      <c r="E140" s="127">
        <f>E137+E128+E104</f>
        <v>759.37018</v>
      </c>
      <c r="F140" s="199">
        <f t="shared" si="35"/>
        <v>1225.2174199999999</v>
      </c>
      <c r="G140" s="147">
        <f t="shared" ref="G140:H140" si="40">G137+G128+G104</f>
        <v>3891.0361000000007</v>
      </c>
      <c r="H140" s="152">
        <f t="shared" si="40"/>
        <v>10207.626400000001</v>
      </c>
      <c r="I140" s="57"/>
      <c r="J140" s="199">
        <f t="shared" si="36"/>
        <v>10207.626400000001</v>
      </c>
      <c r="K140" s="155">
        <f>K137+K128+K104</f>
        <v>3608.2554</v>
      </c>
      <c r="L140" s="93">
        <f t="shared" ref="L140:M140" si="41">L137+L128+L104</f>
        <v>191.39850000000004</v>
      </c>
      <c r="M140" s="97">
        <f t="shared" si="41"/>
        <v>9.9632000000000005</v>
      </c>
      <c r="N140" s="97">
        <f>N137+N128+N104</f>
        <v>65.887599999999992</v>
      </c>
      <c r="O140" s="93">
        <f>O137+O128+O104</f>
        <v>4.0076000000000001</v>
      </c>
      <c r="P140" s="93">
        <f>P137+P128+P104</f>
        <v>39.25685</v>
      </c>
      <c r="Q140" s="175">
        <f t="shared" si="24"/>
        <v>19242.649069999999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35"/>
        <v>0</v>
      </c>
      <c r="G141" s="148"/>
      <c r="H141" s="144"/>
      <c r="I141" s="206"/>
      <c r="J141" s="201">
        <f t="shared" si="36"/>
        <v>0</v>
      </c>
      <c r="K141" s="148"/>
      <c r="L141" s="33"/>
      <c r="M141" s="69"/>
      <c r="N141" s="69"/>
      <c r="O141" s="33"/>
      <c r="P141" s="33"/>
      <c r="Q141" s="175">
        <f t="shared" ref="Q141:Q142" si="42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 t="shared" ref="D142" si="43">D139+D129+D105</f>
        <v>310388.364</v>
      </c>
      <c r="E142" s="118">
        <f>E139+E129+E105</f>
        <v>365307.28999999992</v>
      </c>
      <c r="F142" s="207">
        <f t="shared" si="35"/>
        <v>675695.65399999986</v>
      </c>
      <c r="G142" s="136">
        <f t="shared" ref="G142:H142" si="44">G139+G129+G105</f>
        <v>895745.16899999999</v>
      </c>
      <c r="H142" s="153">
        <f t="shared" si="44"/>
        <v>1476855.3750000002</v>
      </c>
      <c r="I142" s="58"/>
      <c r="J142" s="207">
        <f t="shared" si="36"/>
        <v>1476855.3750000002</v>
      </c>
      <c r="K142" s="136">
        <f>K139+K129+K105</f>
        <v>357947.93100000004</v>
      </c>
      <c r="L142" s="37">
        <f t="shared" ref="L142:M142" si="45">L139+L129+L105</f>
        <v>89988.343999999997</v>
      </c>
      <c r="M142" s="71">
        <f t="shared" si="45"/>
        <v>18090.786240000001</v>
      </c>
      <c r="N142" s="71">
        <f>N139+N129+N105</f>
        <v>40985.983</v>
      </c>
      <c r="O142" s="37">
        <f>O139+O129+O105</f>
        <v>5630.4809999999998</v>
      </c>
      <c r="P142" s="37">
        <f>P139+P129+P105</f>
        <v>30984.279000000002</v>
      </c>
      <c r="Q142" s="187">
        <f t="shared" si="42"/>
        <v>3591924.0022399998</v>
      </c>
      <c r="R142" s="27"/>
    </row>
    <row r="143" spans="1:18">
      <c r="D143" s="96"/>
      <c r="E143" s="96"/>
      <c r="G143" s="96"/>
      <c r="H143" s="96"/>
      <c r="K143" s="96"/>
      <c r="L143" s="96"/>
      <c r="M143" s="96"/>
      <c r="O143" s="96"/>
      <c r="P143" s="96"/>
      <c r="Q143" s="208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topLeftCell="F137" zoomScale="40" zoomScaleNormal="40" zoomScaleSheetLayoutView="7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103</v>
      </c>
      <c r="C3" s="35"/>
      <c r="F3" s="35"/>
      <c r="I3" s="35"/>
      <c r="J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>
        <v>0.02</v>
      </c>
      <c r="E5" s="52"/>
      <c r="F5" s="173">
        <f>SUM(D5:E5)</f>
        <v>0.02</v>
      </c>
      <c r="G5" s="77"/>
      <c r="H5" s="77">
        <v>315.44400000000002</v>
      </c>
      <c r="I5" s="174"/>
      <c r="J5" s="173">
        <f>SUM(H5:I5)</f>
        <v>315.44400000000002</v>
      </c>
      <c r="K5" s="77">
        <v>930.79520000000002</v>
      </c>
      <c r="L5" s="33">
        <v>1.0500000000000001E-2</v>
      </c>
      <c r="M5" s="33"/>
      <c r="N5" s="33"/>
      <c r="O5" s="33"/>
      <c r="P5" s="33"/>
      <c r="Q5" s="175">
        <f>SUM(F5:G5,J5:P5)</f>
        <v>1246.2697000000001</v>
      </c>
      <c r="R5" s="47"/>
    </row>
    <row r="6" spans="1:18">
      <c r="A6" s="176" t="s">
        <v>12</v>
      </c>
      <c r="B6" s="307"/>
      <c r="C6" s="177" t="s">
        <v>13</v>
      </c>
      <c r="D6" s="53">
        <v>4.2000009437086661</v>
      </c>
      <c r="E6" s="53"/>
      <c r="F6" s="178">
        <f>SUM(D6:E6)</f>
        <v>4.2000009437086661</v>
      </c>
      <c r="G6" s="78"/>
      <c r="H6" s="78">
        <v>34414.864000000001</v>
      </c>
      <c r="I6" s="179"/>
      <c r="J6" s="178">
        <f>SUM(H6:I6)</f>
        <v>34414.864000000001</v>
      </c>
      <c r="K6" s="78">
        <v>115981.372</v>
      </c>
      <c r="L6" s="54">
        <v>5.8540000000000001</v>
      </c>
      <c r="M6" s="54"/>
      <c r="N6" s="54"/>
      <c r="O6" s="54"/>
      <c r="P6" s="54"/>
      <c r="Q6" s="180">
        <f>SUM(F6:G6,J6:P6)</f>
        <v>150406.2900009437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0.64</v>
      </c>
      <c r="F7" s="181">
        <f t="shared" ref="F7:F68" si="0">SUM(D7:E7)</f>
        <v>0.64</v>
      </c>
      <c r="G7" s="77"/>
      <c r="H7" s="77">
        <v>114.505</v>
      </c>
      <c r="I7" s="174"/>
      <c r="J7" s="181">
        <f t="shared" ref="J7:J68" si="1">SUM(H7:I7)</f>
        <v>114.505</v>
      </c>
      <c r="K7" s="77">
        <v>287.13299999999998</v>
      </c>
      <c r="L7" s="33">
        <v>1.1599999999999999</v>
      </c>
      <c r="M7" s="33"/>
      <c r="N7" s="33"/>
      <c r="O7" s="33"/>
      <c r="P7" s="33"/>
      <c r="Q7" s="175">
        <f t="shared" ref="Q7:Q68" si="2">SUM(F7:G7,J7:P7)</f>
        <v>403.43799999999999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218.453</v>
      </c>
      <c r="F8" s="178">
        <f t="shared" si="0"/>
        <v>218.453</v>
      </c>
      <c r="G8" s="78"/>
      <c r="H8" s="78">
        <v>6047.1019999999999</v>
      </c>
      <c r="I8" s="179"/>
      <c r="J8" s="178">
        <f t="shared" si="1"/>
        <v>6047.1019999999999</v>
      </c>
      <c r="K8" s="78">
        <v>14539.151</v>
      </c>
      <c r="L8" s="54">
        <v>12.18</v>
      </c>
      <c r="M8" s="54"/>
      <c r="N8" s="54"/>
      <c r="O8" s="54"/>
      <c r="P8" s="54"/>
      <c r="Q8" s="180">
        <f t="shared" si="2"/>
        <v>20816.885999999999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>
        <f>D5+D7</f>
        <v>0.02</v>
      </c>
      <c r="E9" s="33">
        <f t="shared" ref="E9:E10" si="3">+E5+E7</f>
        <v>0.64</v>
      </c>
      <c r="F9" s="181">
        <f>SUM(D9:E9)</f>
        <v>0.66</v>
      </c>
      <c r="G9" s="182"/>
      <c r="H9" s="49">
        <f t="shared" ref="H9:H10" si="4">+H5+H7</f>
        <v>429.94900000000001</v>
      </c>
      <c r="I9" s="50"/>
      <c r="J9" s="181">
        <f>SUM(H9:I9)</f>
        <v>429.94900000000001</v>
      </c>
      <c r="K9" s="49">
        <f t="shared" ref="K9:L10" si="5">+K5+K7</f>
        <v>1217.9282000000001</v>
      </c>
      <c r="L9" s="33">
        <f>+L5+L7</f>
        <v>1.1704999999999999</v>
      </c>
      <c r="M9" s="33"/>
      <c r="N9" s="33"/>
      <c r="O9" s="33"/>
      <c r="P9" s="33"/>
      <c r="Q9" s="175">
        <f t="shared" si="2"/>
        <v>1649.7077000000002</v>
      </c>
      <c r="R9" s="47"/>
    </row>
    <row r="10" spans="1:18">
      <c r="A10" s="183"/>
      <c r="B10" s="309"/>
      <c r="C10" s="177" t="s">
        <v>13</v>
      </c>
      <c r="D10" s="109">
        <f>D6+D8</f>
        <v>4.2000009437086661</v>
      </c>
      <c r="E10" s="54">
        <f t="shared" si="3"/>
        <v>218.453</v>
      </c>
      <c r="F10" s="178">
        <f t="shared" si="0"/>
        <v>222.65300094370866</v>
      </c>
      <c r="G10" s="68"/>
      <c r="H10" s="68">
        <f t="shared" si="4"/>
        <v>40461.966</v>
      </c>
      <c r="I10" s="63"/>
      <c r="J10" s="178">
        <f t="shared" si="1"/>
        <v>40461.966</v>
      </c>
      <c r="K10" s="68">
        <f t="shared" si="5"/>
        <v>130520.523</v>
      </c>
      <c r="L10" s="54">
        <f t="shared" si="5"/>
        <v>18.033999999999999</v>
      </c>
      <c r="M10" s="54"/>
      <c r="N10" s="54"/>
      <c r="O10" s="54"/>
      <c r="P10" s="54"/>
      <c r="Q10" s="180">
        <f t="shared" si="2"/>
        <v>171223.17600094373</v>
      </c>
      <c r="R10" s="47"/>
    </row>
    <row r="11" spans="1:18">
      <c r="A11" s="310" t="s">
        <v>20</v>
      </c>
      <c r="B11" s="311"/>
      <c r="C11" s="48" t="s">
        <v>11</v>
      </c>
      <c r="D11" s="52">
        <v>2.1000000000000001E-2</v>
      </c>
      <c r="E11" s="52">
        <v>7.9000000000000001E-2</v>
      </c>
      <c r="F11" s="181">
        <f t="shared" si="0"/>
        <v>0.1</v>
      </c>
      <c r="G11" s="77">
        <v>0.17660000000000001</v>
      </c>
      <c r="H11" s="77"/>
      <c r="I11" s="174"/>
      <c r="J11" s="181">
        <f t="shared" si="1"/>
        <v>0</v>
      </c>
      <c r="K11" s="77"/>
      <c r="L11" s="33"/>
      <c r="M11" s="33"/>
      <c r="N11" s="33"/>
      <c r="O11" s="33"/>
      <c r="P11" s="33"/>
      <c r="Q11" s="175">
        <f t="shared" si="2"/>
        <v>0.27660000000000001</v>
      </c>
      <c r="R11" s="47"/>
    </row>
    <row r="12" spans="1:18">
      <c r="A12" s="312"/>
      <c r="B12" s="313"/>
      <c r="C12" s="177" t="s">
        <v>13</v>
      </c>
      <c r="D12" s="53">
        <v>1.7640003963576398</v>
      </c>
      <c r="E12" s="53">
        <v>12.914999999999999</v>
      </c>
      <c r="F12" s="178">
        <f t="shared" si="0"/>
        <v>14.679000396357639</v>
      </c>
      <c r="G12" s="78">
        <v>75.989000000000004</v>
      </c>
      <c r="H12" s="78"/>
      <c r="I12" s="179"/>
      <c r="J12" s="178">
        <f t="shared" si="1"/>
        <v>0</v>
      </c>
      <c r="K12" s="78"/>
      <c r="L12" s="54"/>
      <c r="M12" s="54"/>
      <c r="N12" s="54"/>
      <c r="O12" s="54"/>
      <c r="P12" s="54"/>
      <c r="Q12" s="180">
        <f t="shared" si="2"/>
        <v>90.668000396357641</v>
      </c>
      <c r="R12" s="47"/>
    </row>
    <row r="13" spans="1:18">
      <c r="A13" s="27"/>
      <c r="B13" s="306" t="s">
        <v>21</v>
      </c>
      <c r="C13" s="48" t="s">
        <v>11</v>
      </c>
      <c r="D13" s="52">
        <v>3.5733999999999999</v>
      </c>
      <c r="E13" s="52">
        <v>6.5685000000000002</v>
      </c>
      <c r="F13" s="181">
        <f t="shared" si="0"/>
        <v>10.1419</v>
      </c>
      <c r="G13" s="77">
        <v>0.19800000000000001</v>
      </c>
      <c r="H13" s="77"/>
      <c r="I13" s="174"/>
      <c r="J13" s="181">
        <f t="shared" si="1"/>
        <v>0</v>
      </c>
      <c r="K13" s="77"/>
      <c r="L13" s="33">
        <v>3.1899999999999998E-2</v>
      </c>
      <c r="M13" s="33"/>
      <c r="N13" s="33"/>
      <c r="O13" s="33"/>
      <c r="P13" s="33"/>
      <c r="Q13" s="175">
        <f t="shared" si="2"/>
        <v>10.3718</v>
      </c>
      <c r="R13" s="47"/>
    </row>
    <row r="14" spans="1:18">
      <c r="A14" s="172" t="s">
        <v>0</v>
      </c>
      <c r="B14" s="307"/>
      <c r="C14" s="177" t="s">
        <v>13</v>
      </c>
      <c r="D14" s="53">
        <v>11783.039647560508</v>
      </c>
      <c r="E14" s="53">
        <v>23424.284</v>
      </c>
      <c r="F14" s="178">
        <f t="shared" si="0"/>
        <v>35207.323647560508</v>
      </c>
      <c r="G14" s="78">
        <v>807.51499999999999</v>
      </c>
      <c r="H14" s="78"/>
      <c r="I14" s="179"/>
      <c r="J14" s="178">
        <f t="shared" si="1"/>
        <v>0</v>
      </c>
      <c r="K14" s="78"/>
      <c r="L14" s="54">
        <v>84.756</v>
      </c>
      <c r="M14" s="54"/>
      <c r="N14" s="54"/>
      <c r="O14" s="54"/>
      <c r="P14" s="54"/>
      <c r="Q14" s="180">
        <f t="shared" si="2"/>
        <v>36099.594647560509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0.34839999999999999</v>
      </c>
      <c r="E15" s="52"/>
      <c r="F15" s="181">
        <f t="shared" si="0"/>
        <v>0.34839999999999999</v>
      </c>
      <c r="G15" s="77">
        <v>5.9428000000000001</v>
      </c>
      <c r="H15" s="77"/>
      <c r="I15" s="174"/>
      <c r="J15" s="181">
        <f t="shared" si="1"/>
        <v>0</v>
      </c>
      <c r="K15" s="77"/>
      <c r="L15" s="33"/>
      <c r="M15" s="33"/>
      <c r="N15" s="33"/>
      <c r="O15" s="33"/>
      <c r="P15" s="33"/>
      <c r="Q15" s="175">
        <f t="shared" si="2"/>
        <v>6.2911999999999999</v>
      </c>
      <c r="R15" s="47"/>
    </row>
    <row r="16" spans="1:18">
      <c r="A16" s="176" t="s">
        <v>0</v>
      </c>
      <c r="B16" s="307"/>
      <c r="C16" s="177" t="s">
        <v>13</v>
      </c>
      <c r="D16" s="53">
        <v>55.259412416374921</v>
      </c>
      <c r="E16" s="53"/>
      <c r="F16" s="178">
        <f t="shared" si="0"/>
        <v>55.259412416374921</v>
      </c>
      <c r="G16" s="78">
        <v>7399.2920000000004</v>
      </c>
      <c r="H16" s="78"/>
      <c r="I16" s="179"/>
      <c r="J16" s="178">
        <f t="shared" si="1"/>
        <v>0</v>
      </c>
      <c r="K16" s="78"/>
      <c r="L16" s="54"/>
      <c r="M16" s="54"/>
      <c r="N16" s="54"/>
      <c r="O16" s="54"/>
      <c r="P16" s="54"/>
      <c r="Q16" s="180">
        <f t="shared" si="2"/>
        <v>7454.5514124163756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30.3354</v>
      </c>
      <c r="E17" s="52">
        <v>46.8904</v>
      </c>
      <c r="F17" s="181">
        <f t="shared" si="0"/>
        <v>77.225799999999992</v>
      </c>
      <c r="G17" s="77">
        <v>35.459200000000003</v>
      </c>
      <c r="H17" s="77"/>
      <c r="I17" s="174"/>
      <c r="J17" s="181">
        <f t="shared" si="1"/>
        <v>0</v>
      </c>
      <c r="K17" s="77"/>
      <c r="L17" s="33">
        <v>0.36475000000000002</v>
      </c>
      <c r="M17" s="33"/>
      <c r="N17" s="33"/>
      <c r="O17" s="33"/>
      <c r="P17" s="33"/>
      <c r="Q17" s="175">
        <f t="shared" si="2"/>
        <v>113.04975</v>
      </c>
      <c r="R17" s="47"/>
    </row>
    <row r="18" spans="1:18">
      <c r="A18" s="176"/>
      <c r="B18" s="307"/>
      <c r="C18" s="177" t="s">
        <v>13</v>
      </c>
      <c r="D18" s="53">
        <v>35919.974670948519</v>
      </c>
      <c r="E18" s="53">
        <v>50339.535000000003</v>
      </c>
      <c r="F18" s="178">
        <f t="shared" si="0"/>
        <v>86259.509670948522</v>
      </c>
      <c r="G18" s="78">
        <v>40907.264000000003</v>
      </c>
      <c r="H18" s="78"/>
      <c r="I18" s="179"/>
      <c r="J18" s="178">
        <f t="shared" si="1"/>
        <v>0</v>
      </c>
      <c r="K18" s="78"/>
      <c r="L18" s="54">
        <v>588.30600000000004</v>
      </c>
      <c r="M18" s="54"/>
      <c r="N18" s="54"/>
      <c r="O18" s="54"/>
      <c r="P18" s="54"/>
      <c r="Q18" s="180">
        <f t="shared" si="2"/>
        <v>127755.07967094851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10.7738</v>
      </c>
      <c r="E19" s="52">
        <v>18.520600000000002</v>
      </c>
      <c r="F19" s="181">
        <f t="shared" si="0"/>
        <v>29.294400000000003</v>
      </c>
      <c r="G19" s="77">
        <v>8.1130999999999993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37.407499999999999</v>
      </c>
      <c r="R19" s="47"/>
    </row>
    <row r="20" spans="1:18">
      <c r="A20" s="176"/>
      <c r="B20" s="177" t="s">
        <v>28</v>
      </c>
      <c r="C20" s="177" t="s">
        <v>13</v>
      </c>
      <c r="D20" s="53">
        <v>8909.7350019505338</v>
      </c>
      <c r="E20" s="53">
        <v>13963.66</v>
      </c>
      <c r="F20" s="178">
        <f t="shared" si="0"/>
        <v>22873.395001950536</v>
      </c>
      <c r="G20" s="78">
        <v>7004.415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29877.810001950536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100.6892</v>
      </c>
      <c r="E21" s="52">
        <v>146.11680000000001</v>
      </c>
      <c r="F21" s="181">
        <f t="shared" si="0"/>
        <v>246.80600000000001</v>
      </c>
      <c r="G21" s="77">
        <v>24.547000000000001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271.35300000000001</v>
      </c>
      <c r="R21" s="47"/>
    </row>
    <row r="22" spans="1:18">
      <c r="A22" s="27"/>
      <c r="B22" s="307"/>
      <c r="C22" s="177" t="s">
        <v>13</v>
      </c>
      <c r="D22" s="53">
        <v>47563.742287215646</v>
      </c>
      <c r="E22" s="53">
        <v>67972.739000000001</v>
      </c>
      <c r="F22" s="178">
        <f t="shared" si="0"/>
        <v>115536.48128721565</v>
      </c>
      <c r="G22" s="78">
        <v>11987.921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4"/>
      <c r="Q22" s="180">
        <f t="shared" si="2"/>
        <v>127524.40228721565</v>
      </c>
      <c r="R22" s="47"/>
    </row>
    <row r="23" spans="1:18">
      <c r="A23" s="27"/>
      <c r="B23" s="308" t="s">
        <v>19</v>
      </c>
      <c r="C23" s="48" t="s">
        <v>11</v>
      </c>
      <c r="D23" s="110">
        <f>D13+D15+D17+D19+D21</f>
        <v>145.72020000000001</v>
      </c>
      <c r="E23" s="33">
        <f t="shared" ref="E23:E24" si="6">+E13+E15+E17+E19+E21</f>
        <v>218.09630000000001</v>
      </c>
      <c r="F23" s="181">
        <f t="shared" si="0"/>
        <v>363.81650000000002</v>
      </c>
      <c r="G23" s="182">
        <f t="shared" ref="G23:G24" si="7">+G13+G15+G17+G19+G21</f>
        <v>74.260099999999994</v>
      </c>
      <c r="H23" s="49"/>
      <c r="I23" s="50"/>
      <c r="J23" s="181">
        <f t="shared" si="1"/>
        <v>0</v>
      </c>
      <c r="K23" s="49"/>
      <c r="L23" s="33">
        <f>+L13+L15+L17+L19+L21</f>
        <v>0.39665</v>
      </c>
      <c r="M23" s="33"/>
      <c r="N23" s="33"/>
      <c r="O23" s="33"/>
      <c r="P23" s="33"/>
      <c r="Q23" s="175">
        <f t="shared" si="2"/>
        <v>438.47325000000001</v>
      </c>
      <c r="R23" s="47"/>
    </row>
    <row r="24" spans="1:18">
      <c r="A24" s="183"/>
      <c r="B24" s="309"/>
      <c r="C24" s="177" t="s">
        <v>13</v>
      </c>
      <c r="D24" s="111">
        <f>D14+D16+D18+D20+D22</f>
        <v>104231.75102009159</v>
      </c>
      <c r="E24" s="54">
        <f t="shared" si="6"/>
        <v>155700.21799999999</v>
      </c>
      <c r="F24" s="178">
        <f t="shared" si="0"/>
        <v>259931.96902009158</v>
      </c>
      <c r="G24" s="68">
        <f t="shared" si="7"/>
        <v>68106.407000000007</v>
      </c>
      <c r="H24" s="68"/>
      <c r="I24" s="63"/>
      <c r="J24" s="178">
        <f t="shared" si="1"/>
        <v>0</v>
      </c>
      <c r="K24" s="68"/>
      <c r="L24" s="54">
        <f>+L14+L16+L18+L20+L22</f>
        <v>673.06200000000001</v>
      </c>
      <c r="M24" s="54"/>
      <c r="N24" s="54"/>
      <c r="O24" s="54"/>
      <c r="P24" s="54"/>
      <c r="Q24" s="180">
        <f t="shared" si="2"/>
        <v>328711.43802009156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1.143</v>
      </c>
      <c r="E25" s="52">
        <v>3.53</v>
      </c>
      <c r="F25" s="181">
        <f t="shared" si="0"/>
        <v>4.673</v>
      </c>
      <c r="G25" s="77">
        <v>172.5292</v>
      </c>
      <c r="H25" s="77"/>
      <c r="I25" s="174"/>
      <c r="J25" s="181">
        <f t="shared" si="1"/>
        <v>0</v>
      </c>
      <c r="K25" s="77"/>
      <c r="L25" s="33">
        <v>2.07E-2</v>
      </c>
      <c r="M25" s="33"/>
      <c r="N25" s="33"/>
      <c r="O25" s="33"/>
      <c r="P25" s="33"/>
      <c r="Q25" s="175">
        <f t="shared" si="2"/>
        <v>177.22290000000001</v>
      </c>
      <c r="R25" s="47"/>
    </row>
    <row r="26" spans="1:18">
      <c r="A26" s="176" t="s">
        <v>31</v>
      </c>
      <c r="B26" s="307"/>
      <c r="C26" s="177" t="s">
        <v>13</v>
      </c>
      <c r="D26" s="53">
        <v>746.86516781499358</v>
      </c>
      <c r="E26" s="53">
        <v>2284.0250000000001</v>
      </c>
      <c r="F26" s="178">
        <f t="shared" si="0"/>
        <v>3030.8901678149937</v>
      </c>
      <c r="G26" s="78">
        <v>176481.86799999999</v>
      </c>
      <c r="H26" s="78"/>
      <c r="I26" s="179"/>
      <c r="J26" s="178">
        <f t="shared" si="1"/>
        <v>0</v>
      </c>
      <c r="K26" s="78"/>
      <c r="L26" s="54">
        <v>40.656999999999996</v>
      </c>
      <c r="M26" s="54"/>
      <c r="N26" s="54"/>
      <c r="O26" s="54"/>
      <c r="P26" s="54"/>
      <c r="Q26" s="180">
        <f t="shared" si="2"/>
        <v>179553.41516781499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4.49</v>
      </c>
      <c r="E27" s="52">
        <v>8.8239999999999998</v>
      </c>
      <c r="F27" s="181">
        <f t="shared" si="0"/>
        <v>13.314</v>
      </c>
      <c r="G27" s="77">
        <v>5.5426000000000002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18.8566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1393.7493131650026</v>
      </c>
      <c r="E28" s="53">
        <v>3500.82</v>
      </c>
      <c r="F28" s="178">
        <f t="shared" si="0"/>
        <v>4894.5693131650023</v>
      </c>
      <c r="G28" s="78">
        <v>3354.6849999999999</v>
      </c>
      <c r="H28" s="103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8249.2543131650018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f>D25+D27</f>
        <v>5.633</v>
      </c>
      <c r="E29" s="33">
        <f t="shared" ref="E29:E30" si="8">+E25+E27</f>
        <v>12.353999999999999</v>
      </c>
      <c r="F29" s="181">
        <f t="shared" si="0"/>
        <v>17.986999999999998</v>
      </c>
      <c r="G29" s="182">
        <f>+G25+G27</f>
        <v>178.0718</v>
      </c>
      <c r="H29" s="49"/>
      <c r="I29" s="50"/>
      <c r="J29" s="181">
        <f>SUM(H29:I29)</f>
        <v>0</v>
      </c>
      <c r="K29" s="49"/>
      <c r="L29" s="33">
        <f>+L25+L27</f>
        <v>2.07E-2</v>
      </c>
      <c r="M29" s="55"/>
      <c r="N29" s="33"/>
      <c r="O29" s="33"/>
      <c r="P29" s="33"/>
      <c r="Q29" s="175">
        <f t="shared" si="2"/>
        <v>196.0795</v>
      </c>
      <c r="R29" s="47"/>
    </row>
    <row r="30" spans="1:18">
      <c r="A30" s="183"/>
      <c r="B30" s="309"/>
      <c r="C30" s="177" t="s">
        <v>13</v>
      </c>
      <c r="D30" s="111">
        <f>D26+D28</f>
        <v>2140.6144809799962</v>
      </c>
      <c r="E30" s="54">
        <f t="shared" si="8"/>
        <v>5784.8450000000003</v>
      </c>
      <c r="F30" s="178">
        <f t="shared" si="0"/>
        <v>7925.4594809799964</v>
      </c>
      <c r="G30" s="68">
        <f>+G26+G28</f>
        <v>179836.55299999999</v>
      </c>
      <c r="H30" s="68"/>
      <c r="I30" s="63"/>
      <c r="J30" s="178">
        <f t="shared" si="1"/>
        <v>0</v>
      </c>
      <c r="K30" s="68"/>
      <c r="L30" s="54">
        <f>+L26+L28</f>
        <v>40.656999999999996</v>
      </c>
      <c r="M30" s="68"/>
      <c r="N30" s="54"/>
      <c r="O30" s="54"/>
      <c r="P30" s="54"/>
      <c r="Q30" s="180">
        <f t="shared" si="2"/>
        <v>187802.66948098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9.8122000000000007</v>
      </c>
      <c r="E31" s="52">
        <v>15.971299999999999</v>
      </c>
      <c r="F31" s="181">
        <f t="shared" si="0"/>
        <v>25.7835</v>
      </c>
      <c r="G31" s="77">
        <v>215.01910000000001</v>
      </c>
      <c r="H31" s="77">
        <v>682.98950000000002</v>
      </c>
      <c r="I31" s="174"/>
      <c r="J31" s="181">
        <f t="shared" si="1"/>
        <v>682.98950000000002</v>
      </c>
      <c r="K31" s="77">
        <v>392.76659999999998</v>
      </c>
      <c r="L31" s="33">
        <v>397.32429999999999</v>
      </c>
      <c r="M31" s="33"/>
      <c r="N31" s="33">
        <v>6.8331999999999997</v>
      </c>
      <c r="O31" s="33">
        <v>1.218</v>
      </c>
      <c r="P31" s="33">
        <v>26.375499999999999</v>
      </c>
      <c r="Q31" s="175">
        <f t="shared" si="2"/>
        <v>1748.3097000000002</v>
      </c>
      <c r="R31" s="47"/>
    </row>
    <row r="32" spans="1:18">
      <c r="A32" s="176" t="s">
        <v>36</v>
      </c>
      <c r="B32" s="307"/>
      <c r="C32" s="177" t="s">
        <v>13</v>
      </c>
      <c r="D32" s="53">
        <v>1308.439943996628</v>
      </c>
      <c r="E32" s="53">
        <v>1484.3989999999999</v>
      </c>
      <c r="F32" s="178">
        <f t="shared" si="0"/>
        <v>2792.8389439966277</v>
      </c>
      <c r="G32" s="78">
        <v>38668.478000000003</v>
      </c>
      <c r="H32" s="78">
        <v>110334.531</v>
      </c>
      <c r="I32" s="179"/>
      <c r="J32" s="178">
        <f t="shared" si="1"/>
        <v>110334.531</v>
      </c>
      <c r="K32" s="78">
        <v>46784.834000000003</v>
      </c>
      <c r="L32" s="54">
        <v>73212.394</v>
      </c>
      <c r="M32" s="54"/>
      <c r="N32" s="54">
        <v>695.29100000000005</v>
      </c>
      <c r="O32" s="54">
        <v>187.03100000000001</v>
      </c>
      <c r="P32" s="54">
        <f>3242.137*1.08</f>
        <v>3501.5079600000004</v>
      </c>
      <c r="Q32" s="180">
        <f t="shared" si="2"/>
        <v>276176.90590399673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0.4456</v>
      </c>
      <c r="E33" s="52">
        <v>0.31259999999999999</v>
      </c>
      <c r="F33" s="181">
        <f t="shared" si="0"/>
        <v>0.75819999999999999</v>
      </c>
      <c r="G33" s="77">
        <v>2.1543999999999999</v>
      </c>
      <c r="H33" s="77">
        <v>125.79640000000001</v>
      </c>
      <c r="I33" s="174"/>
      <c r="J33" s="181">
        <f t="shared" si="1"/>
        <v>125.79640000000001</v>
      </c>
      <c r="K33" s="77">
        <v>9.9929000000000006</v>
      </c>
      <c r="L33" s="33">
        <v>10.403499999999999</v>
      </c>
      <c r="M33" s="33"/>
      <c r="N33" s="33">
        <v>9.9000000000000008E-3</v>
      </c>
      <c r="O33" s="33"/>
      <c r="P33" s="33">
        <v>0.1051</v>
      </c>
      <c r="Q33" s="175">
        <f t="shared" si="2"/>
        <v>149.22039999999998</v>
      </c>
      <c r="R33" s="47"/>
    </row>
    <row r="34" spans="1:18">
      <c r="A34" s="176" t="s">
        <v>38</v>
      </c>
      <c r="B34" s="307"/>
      <c r="C34" s="177" t="s">
        <v>13</v>
      </c>
      <c r="D34" s="53">
        <v>58.812613214752453</v>
      </c>
      <c r="E34" s="53">
        <v>20.039000000000001</v>
      </c>
      <c r="F34" s="178">
        <f t="shared" si="0"/>
        <v>78.851613214752462</v>
      </c>
      <c r="G34" s="78">
        <v>354.709</v>
      </c>
      <c r="H34" s="78">
        <v>8854.2610000000004</v>
      </c>
      <c r="I34" s="179"/>
      <c r="J34" s="178">
        <f t="shared" si="1"/>
        <v>8854.2610000000004</v>
      </c>
      <c r="K34" s="78">
        <v>715.74800000000005</v>
      </c>
      <c r="L34" s="54">
        <v>1130.3130000000001</v>
      </c>
      <c r="M34" s="54"/>
      <c r="N34" s="54">
        <v>1.355</v>
      </c>
      <c r="O34" s="54"/>
      <c r="P34" s="54">
        <f>5.255*1.08</f>
        <v>5.6754000000000007</v>
      </c>
      <c r="Q34" s="180">
        <f t="shared" si="2"/>
        <v>11140.913013214753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754.62400000000002</v>
      </c>
      <c r="I35" s="174"/>
      <c r="J35" s="181">
        <f t="shared" si="1"/>
        <v>754.62400000000002</v>
      </c>
      <c r="K35" s="77">
        <v>0.40400000000000003</v>
      </c>
      <c r="L35" s="33"/>
      <c r="M35" s="33"/>
      <c r="N35" s="33">
        <v>0.15720000000000001</v>
      </c>
      <c r="O35" s="33"/>
      <c r="P35" s="33"/>
      <c r="Q35" s="175">
        <f t="shared" si="2"/>
        <v>755.18520000000001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99222.176999999996</v>
      </c>
      <c r="I36" s="179"/>
      <c r="J36" s="178">
        <f t="shared" si="1"/>
        <v>99222.176999999996</v>
      </c>
      <c r="K36" s="78">
        <v>16.968</v>
      </c>
      <c r="L36" s="54"/>
      <c r="M36" s="54"/>
      <c r="N36" s="54">
        <v>30.805</v>
      </c>
      <c r="O36" s="54"/>
      <c r="P36" s="54"/>
      <c r="Q36" s="180">
        <f t="shared" si="2"/>
        <v>99269.949999999983</v>
      </c>
      <c r="R36" s="47"/>
    </row>
    <row r="37" spans="1:18">
      <c r="A37" s="27"/>
      <c r="B37" s="308" t="s">
        <v>19</v>
      </c>
      <c r="C37" s="48" t="s">
        <v>11</v>
      </c>
      <c r="D37" s="110">
        <f>D31+D33+D35</f>
        <v>10.257800000000001</v>
      </c>
      <c r="E37" s="33">
        <f t="shared" ref="E37:E38" si="9">+E31+E33+E35</f>
        <v>16.283899999999999</v>
      </c>
      <c r="F37" s="181">
        <f t="shared" si="0"/>
        <v>26.541699999999999</v>
      </c>
      <c r="G37" s="182">
        <f t="shared" ref="G37:H38" si="10">+G31+G33+G35</f>
        <v>217.17350000000002</v>
      </c>
      <c r="H37" s="49">
        <f t="shared" si="10"/>
        <v>1563.4099000000001</v>
      </c>
      <c r="I37" s="50"/>
      <c r="J37" s="181">
        <f t="shared" si="1"/>
        <v>1563.4099000000001</v>
      </c>
      <c r="K37" s="49">
        <f t="shared" ref="K37:K38" si="11">+K31+K33+K35</f>
        <v>403.1635</v>
      </c>
      <c r="L37" s="33">
        <f>+L31+L33+L35</f>
        <v>407.7278</v>
      </c>
      <c r="M37" s="33"/>
      <c r="N37" s="33">
        <f>+N31+N33+N35</f>
        <v>7.0002999999999993</v>
      </c>
      <c r="O37" s="33">
        <f t="shared" ref="O37:O38" si="12">+O31+O33+O35</f>
        <v>1.218</v>
      </c>
      <c r="P37" s="33">
        <f t="shared" ref="P37:P38" si="13">P31+P33+P35</f>
        <v>26.480599999999999</v>
      </c>
      <c r="Q37" s="175">
        <f t="shared" si="2"/>
        <v>2652.7153000000003</v>
      </c>
      <c r="R37" s="47"/>
    </row>
    <row r="38" spans="1:18">
      <c r="A38" s="183"/>
      <c r="B38" s="309"/>
      <c r="C38" s="177" t="s">
        <v>13</v>
      </c>
      <c r="D38" s="111">
        <f>D32+D34+D36</f>
        <v>1367.2525572113805</v>
      </c>
      <c r="E38" s="54">
        <f t="shared" si="9"/>
        <v>1504.4379999999999</v>
      </c>
      <c r="F38" s="178">
        <f t="shared" si="0"/>
        <v>2871.6905572113801</v>
      </c>
      <c r="G38" s="68">
        <f t="shared" si="10"/>
        <v>39023.187000000005</v>
      </c>
      <c r="H38" s="68">
        <f t="shared" si="10"/>
        <v>218410.96899999998</v>
      </c>
      <c r="I38" s="63"/>
      <c r="J38" s="178">
        <f t="shared" si="1"/>
        <v>218410.96899999998</v>
      </c>
      <c r="K38" s="68">
        <f t="shared" si="11"/>
        <v>47517.55</v>
      </c>
      <c r="L38" s="54">
        <f>+L32+L34+L36</f>
        <v>74342.706999999995</v>
      </c>
      <c r="M38" s="54"/>
      <c r="N38" s="54">
        <f>+N32+N34+N36</f>
        <v>727.45100000000002</v>
      </c>
      <c r="O38" s="54">
        <f t="shared" si="12"/>
        <v>187.03100000000001</v>
      </c>
      <c r="P38" s="54">
        <f t="shared" si="13"/>
        <v>3507.1833600000004</v>
      </c>
      <c r="Q38" s="180">
        <f t="shared" si="2"/>
        <v>386587.76891721139</v>
      </c>
      <c r="R38" s="47"/>
    </row>
    <row r="39" spans="1:18">
      <c r="A39" s="310" t="s">
        <v>40</v>
      </c>
      <c r="B39" s="311"/>
      <c r="C39" s="48" t="s">
        <v>11</v>
      </c>
      <c r="D39" s="52">
        <v>0.1036</v>
      </c>
      <c r="E39" s="52">
        <v>0.54910000000000003</v>
      </c>
      <c r="F39" s="181">
        <f t="shared" si="0"/>
        <v>0.65270000000000006</v>
      </c>
      <c r="G39" s="77">
        <v>1.3680000000000001</v>
      </c>
      <c r="H39" s="77">
        <v>16.544599999999999</v>
      </c>
      <c r="I39" s="174"/>
      <c r="J39" s="181">
        <f t="shared" si="1"/>
        <v>16.544599999999999</v>
      </c>
      <c r="K39" s="77">
        <v>4.8543000000000003</v>
      </c>
      <c r="L39" s="33"/>
      <c r="M39" s="33"/>
      <c r="N39" s="33">
        <v>3.0000000000000001E-3</v>
      </c>
      <c r="O39" s="33"/>
      <c r="P39" s="33"/>
      <c r="Q39" s="175">
        <f t="shared" si="2"/>
        <v>23.422600000000003</v>
      </c>
      <c r="R39" s="47"/>
    </row>
    <row r="40" spans="1:18">
      <c r="A40" s="312"/>
      <c r="B40" s="313"/>
      <c r="C40" s="177" t="s">
        <v>13</v>
      </c>
      <c r="D40" s="53">
        <v>99.582022375332485</v>
      </c>
      <c r="E40" s="53">
        <v>50.057000000000002</v>
      </c>
      <c r="F40" s="178">
        <f t="shared" si="0"/>
        <v>149.6390223753325</v>
      </c>
      <c r="G40" s="78">
        <v>209.60499999999999</v>
      </c>
      <c r="H40" s="78">
        <v>844.42399999999998</v>
      </c>
      <c r="I40" s="179"/>
      <c r="J40" s="178">
        <f t="shared" si="1"/>
        <v>844.42399999999998</v>
      </c>
      <c r="K40" s="78">
        <v>257.81299999999999</v>
      </c>
      <c r="L40" s="54"/>
      <c r="M40" s="54"/>
      <c r="N40" s="54">
        <v>1.575</v>
      </c>
      <c r="O40" s="54"/>
      <c r="P40" s="54"/>
      <c r="Q40" s="180">
        <f t="shared" si="2"/>
        <v>1463.0560223753325</v>
      </c>
      <c r="R40" s="47"/>
    </row>
    <row r="41" spans="1:18">
      <c r="A41" s="310" t="s">
        <v>41</v>
      </c>
      <c r="B41" s="311"/>
      <c r="C41" s="48" t="s">
        <v>11</v>
      </c>
      <c r="D41" s="52">
        <v>0.98729999999999996</v>
      </c>
      <c r="E41" s="52"/>
      <c r="F41" s="181">
        <f t="shared" si="0"/>
        <v>0.98729999999999996</v>
      </c>
      <c r="G41" s="77">
        <v>0.2336</v>
      </c>
      <c r="H41" s="77">
        <v>9.06E-2</v>
      </c>
      <c r="I41" s="174"/>
      <c r="J41" s="181">
        <f t="shared" si="1"/>
        <v>9.06E-2</v>
      </c>
      <c r="K41" s="77">
        <v>11.3432</v>
      </c>
      <c r="L41" s="33">
        <v>0.58660000000000001</v>
      </c>
      <c r="M41" s="33"/>
      <c r="N41" s="33"/>
      <c r="O41" s="33">
        <v>5.1999999999999998E-3</v>
      </c>
      <c r="P41" s="33"/>
      <c r="Q41" s="175">
        <f t="shared" si="2"/>
        <v>13.246500000000001</v>
      </c>
      <c r="R41" s="47"/>
    </row>
    <row r="42" spans="1:18">
      <c r="A42" s="312"/>
      <c r="B42" s="313"/>
      <c r="C42" s="177" t="s">
        <v>13</v>
      </c>
      <c r="D42" s="53">
        <v>995.13142359855658</v>
      </c>
      <c r="E42" s="53"/>
      <c r="F42" s="178">
        <f t="shared" si="0"/>
        <v>995.13142359855658</v>
      </c>
      <c r="G42" s="78">
        <v>89.551000000000002</v>
      </c>
      <c r="H42" s="78">
        <v>29.713000000000001</v>
      </c>
      <c r="I42" s="179"/>
      <c r="J42" s="178">
        <f t="shared" si="1"/>
        <v>29.713000000000001</v>
      </c>
      <c r="K42" s="78">
        <v>1472.8340000000001</v>
      </c>
      <c r="L42" s="54">
        <v>56.213000000000001</v>
      </c>
      <c r="M42" s="54"/>
      <c r="N42" s="54"/>
      <c r="O42" s="54">
        <v>0.81899999999999995</v>
      </c>
      <c r="P42" s="54"/>
      <c r="Q42" s="180">
        <f t="shared" si="2"/>
        <v>2644.2614235985566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>
        <v>1E-3</v>
      </c>
      <c r="F45" s="181">
        <f t="shared" si="0"/>
        <v>1E-3</v>
      </c>
      <c r="G45" s="77">
        <v>0</v>
      </c>
      <c r="H45" s="77">
        <v>8.72E-2</v>
      </c>
      <c r="I45" s="174"/>
      <c r="J45" s="181">
        <f t="shared" si="1"/>
        <v>8.72E-2</v>
      </c>
      <c r="K45" s="77">
        <v>2E-3</v>
      </c>
      <c r="L45" s="33"/>
      <c r="M45" s="33"/>
      <c r="N45" s="33"/>
      <c r="O45" s="33"/>
      <c r="P45" s="33"/>
      <c r="Q45" s="175">
        <f t="shared" si="2"/>
        <v>9.0200000000000002E-2</v>
      </c>
      <c r="R45" s="47"/>
    </row>
    <row r="46" spans="1:18">
      <c r="A46" s="312"/>
      <c r="B46" s="313"/>
      <c r="C46" s="177" t="s">
        <v>13</v>
      </c>
      <c r="D46" s="53"/>
      <c r="E46" s="53">
        <v>0.52500000000000002</v>
      </c>
      <c r="F46" s="178">
        <f t="shared" si="0"/>
        <v>0.52500000000000002</v>
      </c>
      <c r="G46" s="78">
        <v>0.49399999999999999</v>
      </c>
      <c r="H46" s="78">
        <v>39.177999999999997</v>
      </c>
      <c r="I46" s="179"/>
      <c r="J46" s="178">
        <f t="shared" si="1"/>
        <v>39.177999999999997</v>
      </c>
      <c r="K46" s="78">
        <v>1.26</v>
      </c>
      <c r="L46" s="54"/>
      <c r="M46" s="54"/>
      <c r="N46" s="54"/>
      <c r="O46" s="54"/>
      <c r="P46" s="54"/>
      <c r="Q46" s="180">
        <f t="shared" si="2"/>
        <v>41.456999999999994</v>
      </c>
      <c r="R46" s="47"/>
    </row>
    <row r="47" spans="1:18">
      <c r="A47" s="310" t="s">
        <v>44</v>
      </c>
      <c r="B47" s="311"/>
      <c r="C47" s="48" t="s">
        <v>11</v>
      </c>
      <c r="D47" s="52">
        <v>1.6E-2</v>
      </c>
      <c r="E47" s="52"/>
      <c r="F47" s="181">
        <f t="shared" si="0"/>
        <v>1.6E-2</v>
      </c>
      <c r="G47" s="77">
        <v>1.2E-2</v>
      </c>
      <c r="H47" s="77">
        <v>5.3600000000000002E-2</v>
      </c>
      <c r="I47" s="174"/>
      <c r="J47" s="181">
        <f t="shared" si="1"/>
        <v>5.3600000000000002E-2</v>
      </c>
      <c r="K47" s="77">
        <v>1.4999999999999999E-2</v>
      </c>
      <c r="L47" s="33">
        <v>1E-3</v>
      </c>
      <c r="M47" s="33"/>
      <c r="N47" s="33"/>
      <c r="O47" s="33"/>
      <c r="P47" s="33"/>
      <c r="Q47" s="175">
        <f t="shared" si="2"/>
        <v>9.7600000000000006E-2</v>
      </c>
      <c r="R47" s="47"/>
    </row>
    <row r="48" spans="1:18">
      <c r="A48" s="312"/>
      <c r="B48" s="313"/>
      <c r="C48" s="177" t="s">
        <v>13</v>
      </c>
      <c r="D48" s="53">
        <v>9.2400020761590671</v>
      </c>
      <c r="E48" s="53"/>
      <c r="F48" s="178">
        <f t="shared" si="0"/>
        <v>9.2400020761590671</v>
      </c>
      <c r="G48" s="78">
        <v>7.8230000000000004</v>
      </c>
      <c r="H48" s="78">
        <v>58.664000000000001</v>
      </c>
      <c r="I48" s="179"/>
      <c r="J48" s="178">
        <f t="shared" si="1"/>
        <v>58.664000000000001</v>
      </c>
      <c r="K48" s="78">
        <v>12.94</v>
      </c>
      <c r="L48" s="54">
        <v>0.84</v>
      </c>
      <c r="M48" s="54"/>
      <c r="N48" s="54"/>
      <c r="O48" s="54"/>
      <c r="P48" s="54"/>
      <c r="Q48" s="180">
        <f t="shared" si="2"/>
        <v>89.507002076159068</v>
      </c>
      <c r="R48" s="47"/>
    </row>
    <row r="49" spans="1:18">
      <c r="A49" s="310" t="s">
        <v>45</v>
      </c>
      <c r="B49" s="311"/>
      <c r="C49" s="48" t="s">
        <v>11</v>
      </c>
      <c r="D49" s="52"/>
      <c r="E49" s="52">
        <v>0.34150000000000003</v>
      </c>
      <c r="F49" s="181">
        <f t="shared" si="0"/>
        <v>0.34150000000000003</v>
      </c>
      <c r="G49" s="77">
        <v>1802.223</v>
      </c>
      <c r="H49" s="77">
        <v>5977.4967999999999</v>
      </c>
      <c r="I49" s="174"/>
      <c r="J49" s="181">
        <f t="shared" si="1"/>
        <v>5977.4967999999999</v>
      </c>
      <c r="K49" s="77">
        <v>78.818200000000004</v>
      </c>
      <c r="L49" s="33">
        <v>2.9499999999999998E-2</v>
      </c>
      <c r="M49" s="33"/>
      <c r="N49" s="33"/>
      <c r="O49" s="33"/>
      <c r="P49" s="33">
        <v>1.0999999999999999E-2</v>
      </c>
      <c r="Q49" s="175">
        <f t="shared" si="2"/>
        <v>7858.9199999999992</v>
      </c>
      <c r="R49" s="47"/>
    </row>
    <row r="50" spans="1:18">
      <c r="A50" s="312"/>
      <c r="B50" s="313"/>
      <c r="C50" s="177" t="s">
        <v>13</v>
      </c>
      <c r="D50" s="53"/>
      <c r="E50" s="53">
        <v>94.605000000000004</v>
      </c>
      <c r="F50" s="178">
        <f t="shared" si="0"/>
        <v>94.605000000000004</v>
      </c>
      <c r="G50" s="78">
        <v>215036.34</v>
      </c>
      <c r="H50" s="78">
        <v>684308.11300000001</v>
      </c>
      <c r="I50" s="179"/>
      <c r="J50" s="178">
        <f t="shared" si="1"/>
        <v>684308.11300000001</v>
      </c>
      <c r="K50" s="78">
        <v>5439.8320000000003</v>
      </c>
      <c r="L50" s="54">
        <v>6.7569999999999997</v>
      </c>
      <c r="M50" s="54"/>
      <c r="N50" s="54"/>
      <c r="O50" s="54"/>
      <c r="P50" s="54">
        <f>2.75*1.08</f>
        <v>2.97</v>
      </c>
      <c r="Q50" s="180">
        <f t="shared" si="2"/>
        <v>904888.61699999997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0.06</v>
      </c>
      <c r="F51" s="181">
        <f t="shared" si="0"/>
        <v>0.06</v>
      </c>
      <c r="G51" s="77"/>
      <c r="H51" s="77"/>
      <c r="I51" s="174"/>
      <c r="J51" s="181">
        <f t="shared" si="1"/>
        <v>0</v>
      </c>
      <c r="K51" s="77">
        <v>406.38499999999999</v>
      </c>
      <c r="L51" s="33"/>
      <c r="M51" s="33"/>
      <c r="N51" s="33"/>
      <c r="O51" s="33"/>
      <c r="P51" s="33"/>
      <c r="Q51" s="175">
        <f t="shared" si="2"/>
        <v>406.44499999999999</v>
      </c>
      <c r="R51" s="47"/>
    </row>
    <row r="52" spans="1:18">
      <c r="A52" s="312"/>
      <c r="B52" s="313"/>
      <c r="C52" s="177" t="s">
        <v>13</v>
      </c>
      <c r="D52" s="53"/>
      <c r="E52" s="53">
        <v>50.61</v>
      </c>
      <c r="F52" s="178">
        <f t="shared" si="0"/>
        <v>50.61</v>
      </c>
      <c r="G52" s="78"/>
      <c r="H52" s="78"/>
      <c r="I52" s="179"/>
      <c r="J52" s="178">
        <f t="shared" si="1"/>
        <v>0</v>
      </c>
      <c r="K52" s="78">
        <v>38558.906000000003</v>
      </c>
      <c r="L52" s="54"/>
      <c r="M52" s="54"/>
      <c r="N52" s="54"/>
      <c r="O52" s="54"/>
      <c r="P52" s="54"/>
      <c r="Q52" s="180">
        <f t="shared" si="2"/>
        <v>38609.516000000003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/>
      <c r="F53" s="181">
        <f t="shared" si="0"/>
        <v>0</v>
      </c>
      <c r="G53" s="77">
        <v>3.4988000000000001</v>
      </c>
      <c r="H53" s="77">
        <v>3.1E-2</v>
      </c>
      <c r="I53" s="174"/>
      <c r="J53" s="181">
        <f t="shared" si="1"/>
        <v>3.1E-2</v>
      </c>
      <c r="K53" s="77">
        <v>7.7628000000000004</v>
      </c>
      <c r="L53" s="33">
        <v>0.437</v>
      </c>
      <c r="M53" s="33"/>
      <c r="N53" s="33"/>
      <c r="O53" s="33"/>
      <c r="P53" s="33"/>
      <c r="Q53" s="175">
        <f t="shared" si="2"/>
        <v>11.7296</v>
      </c>
      <c r="R53" s="47"/>
    </row>
    <row r="54" spans="1:18">
      <c r="A54" s="312"/>
      <c r="B54" s="313"/>
      <c r="C54" s="177" t="s">
        <v>13</v>
      </c>
      <c r="D54" s="53"/>
      <c r="E54" s="53"/>
      <c r="F54" s="178">
        <f t="shared" si="0"/>
        <v>0</v>
      </c>
      <c r="G54" s="78">
        <v>997.84799999999996</v>
      </c>
      <c r="H54" s="78">
        <v>17.440999999999999</v>
      </c>
      <c r="I54" s="179"/>
      <c r="J54" s="178">
        <f t="shared" si="1"/>
        <v>17.440999999999999</v>
      </c>
      <c r="K54" s="78">
        <v>719.62300000000005</v>
      </c>
      <c r="L54" s="54">
        <v>106.285</v>
      </c>
      <c r="M54" s="54"/>
      <c r="N54" s="54"/>
      <c r="O54" s="54"/>
      <c r="P54" s="54"/>
      <c r="Q54" s="180">
        <f t="shared" si="2"/>
        <v>1841.1970000000001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0.5373</v>
      </c>
      <c r="E55" s="52"/>
      <c r="F55" s="181">
        <f t="shared" si="0"/>
        <v>0.5373</v>
      </c>
      <c r="G55" s="77">
        <v>1.2999999999999999E-3</v>
      </c>
      <c r="H55" s="77">
        <v>2.9600000000000001E-2</v>
      </c>
      <c r="I55" s="174"/>
      <c r="J55" s="181">
        <f t="shared" si="1"/>
        <v>2.9600000000000001E-2</v>
      </c>
      <c r="K55" s="77">
        <v>5.1999999999999998E-2</v>
      </c>
      <c r="L55" s="33">
        <v>1.4E-3</v>
      </c>
      <c r="M55" s="33"/>
      <c r="N55" s="33"/>
      <c r="O55" s="33"/>
      <c r="P55" s="33"/>
      <c r="Q55" s="175">
        <f t="shared" si="2"/>
        <v>0.62159999999999993</v>
      </c>
      <c r="R55" s="47"/>
    </row>
    <row r="56" spans="1:18">
      <c r="A56" s="176" t="s">
        <v>36</v>
      </c>
      <c r="B56" s="307"/>
      <c r="C56" s="177" t="s">
        <v>13</v>
      </c>
      <c r="D56" s="53">
        <v>507.74861408729993</v>
      </c>
      <c r="E56" s="53"/>
      <c r="F56" s="178">
        <f t="shared" si="0"/>
        <v>507.74861408729993</v>
      </c>
      <c r="G56" s="78">
        <v>2.3889999999999998</v>
      </c>
      <c r="H56" s="78">
        <v>19.373999999999999</v>
      </c>
      <c r="I56" s="179"/>
      <c r="J56" s="178">
        <f t="shared" si="1"/>
        <v>19.373999999999999</v>
      </c>
      <c r="K56" s="78">
        <v>25.329000000000001</v>
      </c>
      <c r="L56" s="54">
        <v>1.617</v>
      </c>
      <c r="M56" s="54"/>
      <c r="N56" s="54"/>
      <c r="O56" s="54"/>
      <c r="P56" s="54"/>
      <c r="Q56" s="180">
        <f t="shared" si="2"/>
        <v>556.45761408729982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7.5300000000000006E-2</v>
      </c>
      <c r="E57" s="52">
        <v>5.1999999999999998E-3</v>
      </c>
      <c r="F57" s="181">
        <f t="shared" si="0"/>
        <v>8.0500000000000002E-2</v>
      </c>
      <c r="G57" s="77">
        <v>0.42470000000000002</v>
      </c>
      <c r="H57" s="77"/>
      <c r="I57" s="174"/>
      <c r="J57" s="181">
        <f t="shared" si="1"/>
        <v>0</v>
      </c>
      <c r="K57" s="77">
        <v>0.64119999999999999</v>
      </c>
      <c r="L57" s="33">
        <v>0.69230000000000003</v>
      </c>
      <c r="M57" s="33"/>
      <c r="N57" s="33"/>
      <c r="O57" s="33"/>
      <c r="P57" s="33"/>
      <c r="Q57" s="175">
        <f t="shared" si="2"/>
        <v>1.8386999999999998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3.2707507349131242</v>
      </c>
      <c r="E58" s="53">
        <v>5.46</v>
      </c>
      <c r="F58" s="178">
        <f t="shared" si="0"/>
        <v>8.7307507349131246</v>
      </c>
      <c r="G58" s="78">
        <v>135.13900000000001</v>
      </c>
      <c r="H58" s="78"/>
      <c r="I58" s="179"/>
      <c r="J58" s="178">
        <f t="shared" si="1"/>
        <v>0</v>
      </c>
      <c r="K58" s="78">
        <v>113.655</v>
      </c>
      <c r="L58" s="54">
        <v>126.181</v>
      </c>
      <c r="M58" s="54"/>
      <c r="N58" s="54"/>
      <c r="O58" s="54"/>
      <c r="P58" s="54"/>
      <c r="Q58" s="180">
        <f t="shared" si="2"/>
        <v>383.70575073491312</v>
      </c>
      <c r="R58" s="47"/>
    </row>
    <row r="59" spans="1:18">
      <c r="A59" s="27"/>
      <c r="B59" s="308" t="s">
        <v>19</v>
      </c>
      <c r="C59" s="48" t="s">
        <v>11</v>
      </c>
      <c r="D59" s="110">
        <f>D55+D57</f>
        <v>0.61260000000000003</v>
      </c>
      <c r="E59" s="33">
        <f t="shared" ref="E59:E60" si="14">+E55+E57</f>
        <v>5.1999999999999998E-3</v>
      </c>
      <c r="F59" s="181">
        <f t="shared" si="0"/>
        <v>0.61780000000000002</v>
      </c>
      <c r="G59" s="182">
        <f t="shared" ref="G59:H60" si="15">+G55+G57</f>
        <v>0.42600000000000005</v>
      </c>
      <c r="H59" s="49">
        <f t="shared" si="15"/>
        <v>2.9600000000000001E-2</v>
      </c>
      <c r="I59" s="50"/>
      <c r="J59" s="181">
        <f t="shared" si="1"/>
        <v>2.9600000000000001E-2</v>
      </c>
      <c r="K59" s="49">
        <f t="shared" ref="K59:K60" si="16">+K55+K57</f>
        <v>0.69320000000000004</v>
      </c>
      <c r="L59" s="33">
        <f>+L55+L57</f>
        <v>0.69369999999999998</v>
      </c>
      <c r="M59" s="33"/>
      <c r="N59" s="33"/>
      <c r="O59" s="33"/>
      <c r="P59" s="33"/>
      <c r="Q59" s="175">
        <f t="shared" si="2"/>
        <v>2.4603000000000002</v>
      </c>
      <c r="R59" s="47"/>
    </row>
    <row r="60" spans="1:18">
      <c r="A60" s="183"/>
      <c r="B60" s="309"/>
      <c r="C60" s="177" t="s">
        <v>13</v>
      </c>
      <c r="D60" s="111">
        <f>D56+D58</f>
        <v>511.01936482221305</v>
      </c>
      <c r="E60" s="54">
        <f t="shared" si="14"/>
        <v>5.46</v>
      </c>
      <c r="F60" s="178">
        <f t="shared" si="0"/>
        <v>516.47936482221303</v>
      </c>
      <c r="G60" s="68">
        <f t="shared" si="15"/>
        <v>137.52800000000002</v>
      </c>
      <c r="H60" s="68">
        <f t="shared" si="15"/>
        <v>19.373999999999999</v>
      </c>
      <c r="I60" s="63"/>
      <c r="J60" s="178">
        <f t="shared" si="1"/>
        <v>19.373999999999999</v>
      </c>
      <c r="K60" s="68">
        <f t="shared" si="16"/>
        <v>138.98400000000001</v>
      </c>
      <c r="L60" s="54">
        <f>+L56+L58</f>
        <v>127.798</v>
      </c>
      <c r="M60" s="54"/>
      <c r="N60" s="54"/>
      <c r="O60" s="54"/>
      <c r="P60" s="54"/>
      <c r="Q60" s="180">
        <f t="shared" si="2"/>
        <v>940.16336482221311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1.0544</v>
      </c>
      <c r="E61" s="52">
        <v>11.61</v>
      </c>
      <c r="F61" s="181">
        <f t="shared" si="0"/>
        <v>12.664399999999999</v>
      </c>
      <c r="G61" s="77">
        <v>11.4253</v>
      </c>
      <c r="H61" s="77">
        <v>33.611400000000003</v>
      </c>
      <c r="I61" s="174"/>
      <c r="J61" s="181">
        <f t="shared" si="1"/>
        <v>33.611400000000003</v>
      </c>
      <c r="K61" s="77"/>
      <c r="L61" s="33">
        <v>9.1114999999999995</v>
      </c>
      <c r="M61" s="33"/>
      <c r="N61" s="33"/>
      <c r="O61" s="33"/>
      <c r="P61" s="33"/>
      <c r="Q61" s="175">
        <f t="shared" si="2"/>
        <v>66.812600000000003</v>
      </c>
      <c r="R61" s="47"/>
    </row>
    <row r="62" spans="1:18">
      <c r="A62" s="176" t="s">
        <v>51</v>
      </c>
      <c r="B62" s="307"/>
      <c r="C62" s="177" t="s">
        <v>13</v>
      </c>
      <c r="D62" s="53">
        <v>98.19707206414455</v>
      </c>
      <c r="E62" s="53">
        <v>476.65899999999999</v>
      </c>
      <c r="F62" s="178">
        <f t="shared" si="0"/>
        <v>574.85607206414454</v>
      </c>
      <c r="G62" s="78">
        <v>817.24099999999999</v>
      </c>
      <c r="H62" s="78">
        <v>1366.0550000000001</v>
      </c>
      <c r="I62" s="179"/>
      <c r="J62" s="178">
        <f t="shared" si="1"/>
        <v>1366.0550000000001</v>
      </c>
      <c r="K62" s="78"/>
      <c r="L62" s="54">
        <v>128.16</v>
      </c>
      <c r="M62" s="54"/>
      <c r="N62" s="54"/>
      <c r="O62" s="54"/>
      <c r="P62" s="54"/>
      <c r="Q62" s="180">
        <f t="shared" si="2"/>
        <v>2886.3120720641446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/>
      <c r="E63" s="52">
        <v>17.239999999999998</v>
      </c>
      <c r="F63" s="181">
        <f t="shared" si="0"/>
        <v>17.239999999999998</v>
      </c>
      <c r="G63" s="77">
        <v>384.01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401.25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/>
      <c r="E64" s="53">
        <v>1438.71</v>
      </c>
      <c r="F64" s="178">
        <f t="shared" si="0"/>
        <v>1438.71</v>
      </c>
      <c r="G64" s="78">
        <v>45765.199000000001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47203.909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134.578</v>
      </c>
      <c r="H65" s="77">
        <v>8.1000000000000003E-2</v>
      </c>
      <c r="I65" s="174"/>
      <c r="J65" s="181">
        <f t="shared" si="1"/>
        <v>8.1000000000000003E-2</v>
      </c>
      <c r="K65" s="77"/>
      <c r="L65" s="33">
        <v>3.0000000000000001E-3</v>
      </c>
      <c r="M65" s="33"/>
      <c r="N65" s="33"/>
      <c r="O65" s="33"/>
      <c r="P65" s="33"/>
      <c r="Q65" s="175">
        <f t="shared" si="2"/>
        <v>134.66199999999998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21664.606</v>
      </c>
      <c r="H66" s="78">
        <v>11.34</v>
      </c>
      <c r="I66" s="179"/>
      <c r="J66" s="178">
        <f t="shared" si="1"/>
        <v>11.34</v>
      </c>
      <c r="K66" s="78"/>
      <c r="L66" s="54">
        <v>2.1</v>
      </c>
      <c r="M66" s="54"/>
      <c r="N66" s="54"/>
      <c r="O66" s="54"/>
      <c r="P66" s="54"/>
      <c r="Q66" s="180">
        <f t="shared" si="2"/>
        <v>21678.045999999998</v>
      </c>
      <c r="R66" s="47"/>
    </row>
    <row r="67" spans="1:18">
      <c r="A67" s="27"/>
      <c r="B67" s="46" t="s">
        <v>15</v>
      </c>
      <c r="C67" s="48" t="s">
        <v>11</v>
      </c>
      <c r="D67" s="52">
        <v>0.16600000000000001</v>
      </c>
      <c r="E67" s="52">
        <v>0.28499999999999998</v>
      </c>
      <c r="F67" s="181">
        <f t="shared" si="0"/>
        <v>0.45099999999999996</v>
      </c>
      <c r="G67" s="77">
        <v>74.029600000000002</v>
      </c>
      <c r="H67" s="77"/>
      <c r="I67" s="174"/>
      <c r="J67" s="181">
        <f t="shared" si="1"/>
        <v>0</v>
      </c>
      <c r="K67" s="77">
        <v>3.4285000000000001</v>
      </c>
      <c r="L67" s="33">
        <v>6.6000000000000003E-2</v>
      </c>
      <c r="M67" s="33"/>
      <c r="N67" s="33"/>
      <c r="O67" s="33"/>
      <c r="P67" s="33"/>
      <c r="Q67" s="175">
        <f t="shared" si="2"/>
        <v>77.975099999999998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1.3944003133112772</v>
      </c>
      <c r="E68" s="56">
        <v>2.1110000000000002</v>
      </c>
      <c r="F68" s="185">
        <f t="shared" si="0"/>
        <v>3.5054003133112772</v>
      </c>
      <c r="G68" s="104">
        <v>8635.9490000000005</v>
      </c>
      <c r="H68" s="79"/>
      <c r="I68" s="186"/>
      <c r="J68" s="185">
        <f t="shared" si="1"/>
        <v>0</v>
      </c>
      <c r="K68" s="79">
        <v>129.66399999999999</v>
      </c>
      <c r="L68" s="37">
        <v>54.39</v>
      </c>
      <c r="M68" s="37"/>
      <c r="N68" s="37"/>
      <c r="O68" s="37"/>
      <c r="P68" s="37"/>
      <c r="Q68" s="187">
        <f t="shared" si="2"/>
        <v>8823.5084003133124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M69" s="47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M70" s="47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M71" s="47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M72" s="47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M73" s="47"/>
      <c r="Q73" s="67"/>
    </row>
    <row r="74" spans="1:18" ht="19.5" thickBot="1">
      <c r="A74" s="35"/>
      <c r="B74" s="164" t="s">
        <v>103</v>
      </c>
      <c r="C74" s="35"/>
      <c r="D74" s="113"/>
      <c r="E74" s="113"/>
      <c r="F74" s="188"/>
      <c r="G74" s="146"/>
      <c r="H74" s="145"/>
      <c r="I74" s="65"/>
      <c r="J74" s="188"/>
      <c r="K74" s="189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f>D61+D63+D65+D67</f>
        <v>1.2203999999999999</v>
      </c>
      <c r="E76" s="33">
        <f t="shared" ref="E76:E77" si="17">+E61+E63+E65+E67</f>
        <v>29.134999999999998</v>
      </c>
      <c r="F76" s="191">
        <f t="shared" ref="F76:F133" si="18">SUM(D76:E76)</f>
        <v>30.355399999999999</v>
      </c>
      <c r="G76" s="182">
        <f t="shared" ref="G76:H77" si="19">+G61+G63+G65+G67</f>
        <v>604.04289999999992</v>
      </c>
      <c r="H76" s="49">
        <f t="shared" si="19"/>
        <v>33.692400000000006</v>
      </c>
      <c r="I76" s="50"/>
      <c r="J76" s="191">
        <f t="shared" ref="J76:J133" si="20">SUM(H76:I76)</f>
        <v>33.692400000000006</v>
      </c>
      <c r="K76" s="49">
        <f t="shared" ref="K76:L77" si="21">+K61+K63+K65+K67</f>
        <v>3.4285000000000001</v>
      </c>
      <c r="L76" s="33">
        <f t="shared" si="21"/>
        <v>9.1805000000000003</v>
      </c>
      <c r="M76" s="33"/>
      <c r="N76" s="33"/>
      <c r="O76" s="33"/>
      <c r="P76" s="33"/>
      <c r="Q76" s="175">
        <f t="shared" ref="Q76:Q140" si="22">SUM(F76:G76,J76:P76)</f>
        <v>680.69970000000001</v>
      </c>
      <c r="R76" s="27"/>
    </row>
    <row r="77" spans="1:18">
      <c r="A77" s="166" t="s">
        <v>53</v>
      </c>
      <c r="B77" s="309"/>
      <c r="C77" s="192" t="s">
        <v>13</v>
      </c>
      <c r="D77" s="111">
        <f>D62+D64+D66+D68</f>
        <v>99.59147237745583</v>
      </c>
      <c r="E77" s="54">
        <f t="shared" si="17"/>
        <v>1917.4800000000002</v>
      </c>
      <c r="F77" s="193">
        <f t="shared" si="18"/>
        <v>2017.0714723774561</v>
      </c>
      <c r="G77" s="68">
        <f t="shared" si="19"/>
        <v>76882.994999999995</v>
      </c>
      <c r="H77" s="68">
        <f t="shared" si="19"/>
        <v>1377.395</v>
      </c>
      <c r="I77" s="63"/>
      <c r="J77" s="193">
        <f t="shared" si="20"/>
        <v>1377.395</v>
      </c>
      <c r="K77" s="68">
        <f t="shared" si="21"/>
        <v>129.66399999999999</v>
      </c>
      <c r="L77" s="54">
        <f t="shared" si="21"/>
        <v>184.64999999999998</v>
      </c>
      <c r="M77" s="54"/>
      <c r="N77" s="54"/>
      <c r="O77" s="54"/>
      <c r="P77" s="54"/>
      <c r="Q77" s="180">
        <f t="shared" si="22"/>
        <v>80591.775472377456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1.1302000000000001</v>
      </c>
      <c r="E78" s="52">
        <v>0.87539999999999996</v>
      </c>
      <c r="F78" s="191">
        <f t="shared" si="18"/>
        <v>2.0056000000000003</v>
      </c>
      <c r="G78" s="77">
        <v>0.50160000000000005</v>
      </c>
      <c r="H78" s="77">
        <v>22.619499999999999</v>
      </c>
      <c r="I78" s="174"/>
      <c r="J78" s="191">
        <f t="shared" si="20"/>
        <v>22.619499999999999</v>
      </c>
      <c r="K78" s="77">
        <v>1.9504999999999999</v>
      </c>
      <c r="L78" s="33">
        <v>1.0962000000000001</v>
      </c>
      <c r="M78" s="33">
        <v>3.4500000000000003E-2</v>
      </c>
      <c r="N78" s="33">
        <v>2.1368999999999998</v>
      </c>
      <c r="O78" s="33">
        <v>0.57299999999999995</v>
      </c>
      <c r="P78" s="33">
        <v>0.73850000000000005</v>
      </c>
      <c r="Q78" s="175">
        <f t="shared" si="22"/>
        <v>31.656299999999998</v>
      </c>
      <c r="R78" s="27"/>
    </row>
    <row r="79" spans="1:18">
      <c r="A79" s="176" t="s">
        <v>31</v>
      </c>
      <c r="B79" s="307"/>
      <c r="C79" s="192" t="s">
        <v>13</v>
      </c>
      <c r="D79" s="53">
        <v>2082.4665179145854</v>
      </c>
      <c r="E79" s="53">
        <v>2001.7650000000001</v>
      </c>
      <c r="F79" s="193">
        <f t="shared" si="18"/>
        <v>4084.2315179145853</v>
      </c>
      <c r="G79" s="78">
        <v>797.06799999999998</v>
      </c>
      <c r="H79" s="78">
        <v>15044.445</v>
      </c>
      <c r="I79" s="179"/>
      <c r="J79" s="193">
        <f t="shared" si="20"/>
        <v>15044.445</v>
      </c>
      <c r="K79" s="78">
        <v>1884.9590000000001</v>
      </c>
      <c r="L79" s="54">
        <v>1104.8340000000001</v>
      </c>
      <c r="M79" s="54">
        <f>25.87*1.08</f>
        <v>27.939600000000002</v>
      </c>
      <c r="N79" s="54">
        <v>2759.1570000000002</v>
      </c>
      <c r="O79" s="54">
        <v>592.07600000000002</v>
      </c>
      <c r="P79" s="54">
        <f>1151.89*1.08</f>
        <v>1244.0412000000001</v>
      </c>
      <c r="Q79" s="180">
        <f t="shared" si="22"/>
        <v>27538.751317914586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>
        <v>3.1800000000000002E-2</v>
      </c>
      <c r="F80" s="191">
        <f t="shared" si="18"/>
        <v>3.1800000000000002E-2</v>
      </c>
      <c r="G80" s="77"/>
      <c r="H80" s="77">
        <v>2.6599999999999999E-2</v>
      </c>
      <c r="I80" s="174"/>
      <c r="J80" s="191">
        <f t="shared" si="20"/>
        <v>2.6599999999999999E-2</v>
      </c>
      <c r="K80" s="77"/>
      <c r="L80" s="33"/>
      <c r="M80" s="33"/>
      <c r="N80" s="33"/>
      <c r="O80" s="33"/>
      <c r="P80" s="33"/>
      <c r="Q80" s="175">
        <f t="shared" si="22"/>
        <v>5.8400000000000001E-2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>
        <v>5.7859999999999996</v>
      </c>
      <c r="F81" s="193">
        <f t="shared" si="18"/>
        <v>5.7859999999999996</v>
      </c>
      <c r="G81" s="78"/>
      <c r="H81" s="78">
        <v>1.4319999999999999</v>
      </c>
      <c r="I81" s="179"/>
      <c r="J81" s="193">
        <f t="shared" si="20"/>
        <v>1.4319999999999999</v>
      </c>
      <c r="K81" s="78"/>
      <c r="L81" s="54"/>
      <c r="M81" s="54"/>
      <c r="N81" s="54"/>
      <c r="O81" s="54"/>
      <c r="P81" s="54"/>
      <c r="Q81" s="180">
        <f t="shared" si="22"/>
        <v>7.218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18"/>
        <v>0</v>
      </c>
      <c r="G82" s="77"/>
      <c r="H82" s="77"/>
      <c r="I82" s="174"/>
      <c r="J82" s="191">
        <f t="shared" si="20"/>
        <v>0</v>
      </c>
      <c r="K82" s="77"/>
      <c r="L82" s="33"/>
      <c r="M82" s="33"/>
      <c r="N82" s="33"/>
      <c r="O82" s="33"/>
      <c r="P82" s="33"/>
      <c r="Q82" s="175">
        <f t="shared" si="22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18"/>
        <v>0</v>
      </c>
      <c r="G83" s="78"/>
      <c r="H83" s="78"/>
      <c r="I83" s="179"/>
      <c r="J83" s="193">
        <f t="shared" si="20"/>
        <v>0</v>
      </c>
      <c r="K83" s="78"/>
      <c r="L83" s="54"/>
      <c r="M83" s="54"/>
      <c r="N83" s="54"/>
      <c r="O83" s="54"/>
      <c r="P83" s="54"/>
      <c r="Q83" s="180">
        <f t="shared" si="22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18"/>
        <v>0</v>
      </c>
      <c r="G84" s="77"/>
      <c r="H84" s="77"/>
      <c r="I84" s="174"/>
      <c r="J84" s="191">
        <f t="shared" si="20"/>
        <v>0</v>
      </c>
      <c r="K84" s="77"/>
      <c r="L84" s="33"/>
      <c r="M84" s="33"/>
      <c r="N84" s="33"/>
      <c r="O84" s="33"/>
      <c r="P84" s="33"/>
      <c r="Q84" s="175">
        <f t="shared" si="22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18"/>
        <v>0</v>
      </c>
      <c r="G85" s="78"/>
      <c r="H85" s="78"/>
      <c r="I85" s="179"/>
      <c r="J85" s="193">
        <f t="shared" si="20"/>
        <v>0</v>
      </c>
      <c r="K85" s="78"/>
      <c r="L85" s="54"/>
      <c r="M85" s="54"/>
      <c r="N85" s="54"/>
      <c r="O85" s="54"/>
      <c r="P85" s="54"/>
      <c r="Q85" s="180">
        <f t="shared" si="22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5.8175999999999997</v>
      </c>
      <c r="E86" s="52">
        <v>14.1753</v>
      </c>
      <c r="F86" s="191">
        <f t="shared" si="18"/>
        <v>19.992899999999999</v>
      </c>
      <c r="G86" s="77">
        <v>7.0279999999999996</v>
      </c>
      <c r="H86" s="77">
        <v>59.594200000000001</v>
      </c>
      <c r="I86" s="174"/>
      <c r="J86" s="191">
        <f t="shared" si="20"/>
        <v>59.594200000000001</v>
      </c>
      <c r="K86" s="77">
        <v>4.9863999999999997</v>
      </c>
      <c r="L86" s="33">
        <v>5.9478999999999997</v>
      </c>
      <c r="M86" s="33">
        <v>7.0000000000000001E-3</v>
      </c>
      <c r="N86" s="33">
        <v>7.7816999999999998</v>
      </c>
      <c r="O86" s="33">
        <v>1.8812</v>
      </c>
      <c r="P86" s="33">
        <v>7.1756000000000002</v>
      </c>
      <c r="Q86" s="175">
        <f t="shared" si="22"/>
        <v>114.39490000000002</v>
      </c>
      <c r="R86" s="27"/>
    </row>
    <row r="87" spans="1:18">
      <c r="A87" s="176"/>
      <c r="B87" s="177" t="s">
        <v>63</v>
      </c>
      <c r="C87" s="192" t="s">
        <v>13</v>
      </c>
      <c r="D87" s="53">
        <v>2934.2655593074323</v>
      </c>
      <c r="E87" s="53">
        <v>5037.5820000000003</v>
      </c>
      <c r="F87" s="193">
        <f t="shared" si="18"/>
        <v>7971.8475593074327</v>
      </c>
      <c r="G87" s="78">
        <v>3380.8440000000001</v>
      </c>
      <c r="H87" s="78">
        <v>26802.058000000001</v>
      </c>
      <c r="I87" s="179"/>
      <c r="J87" s="193">
        <f t="shared" si="20"/>
        <v>26802.058000000001</v>
      </c>
      <c r="K87" s="78">
        <v>2264.1039999999998</v>
      </c>
      <c r="L87" s="54">
        <v>2213.8620000000001</v>
      </c>
      <c r="M87" s="54">
        <f>1.4*1.08</f>
        <v>1.512</v>
      </c>
      <c r="N87" s="54">
        <v>2576.9490000000001</v>
      </c>
      <c r="O87" s="54">
        <v>621.67899999999997</v>
      </c>
      <c r="P87" s="54">
        <f>1888.03*1.08</f>
        <v>2039.0724</v>
      </c>
      <c r="Q87" s="180">
        <f t="shared" si="22"/>
        <v>47871.927959307432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f>D78+D80+D82+D84+D86</f>
        <v>6.9478</v>
      </c>
      <c r="E88" s="33">
        <f t="shared" ref="E88:E89" si="23">+E78+E80+E82+E84+E86</f>
        <v>15.0825</v>
      </c>
      <c r="F88" s="191">
        <f t="shared" si="18"/>
        <v>22.0303</v>
      </c>
      <c r="G88" s="182">
        <f t="shared" ref="G88:H89" si="24">+G78+G80+G82+G84+G86</f>
        <v>7.5295999999999994</v>
      </c>
      <c r="H88" s="49">
        <f t="shared" si="24"/>
        <v>82.240299999999991</v>
      </c>
      <c r="I88" s="50"/>
      <c r="J88" s="191">
        <f t="shared" si="20"/>
        <v>82.240299999999991</v>
      </c>
      <c r="K88" s="49">
        <f t="shared" ref="K88:K89" si="25">+K78+K80+K82+K84+K86</f>
        <v>6.9368999999999996</v>
      </c>
      <c r="L88" s="33">
        <f t="shared" ref="L88:O89" si="26">+L78+L80+L82+L84+L86</f>
        <v>7.0441000000000003</v>
      </c>
      <c r="M88" s="33">
        <f t="shared" si="26"/>
        <v>4.1500000000000002E-2</v>
      </c>
      <c r="N88" s="33">
        <f t="shared" si="26"/>
        <v>9.9185999999999996</v>
      </c>
      <c r="O88" s="33">
        <f t="shared" si="26"/>
        <v>2.4542000000000002</v>
      </c>
      <c r="P88" s="33">
        <f t="shared" ref="P88:P89" si="27">+P78+P80+P82+P84+P86</f>
        <v>7.9141000000000004</v>
      </c>
      <c r="Q88" s="175">
        <f t="shared" si="22"/>
        <v>146.10959999999997</v>
      </c>
      <c r="R88" s="27"/>
    </row>
    <row r="89" spans="1:18">
      <c r="A89" s="183"/>
      <c r="B89" s="309"/>
      <c r="C89" s="192" t="s">
        <v>13</v>
      </c>
      <c r="D89" s="111">
        <f>D79+D81+D83+D85+D87</f>
        <v>5016.7320772220173</v>
      </c>
      <c r="E89" s="54">
        <f t="shared" si="23"/>
        <v>7045.1330000000007</v>
      </c>
      <c r="F89" s="193">
        <f t="shared" si="18"/>
        <v>12061.865077222017</v>
      </c>
      <c r="G89" s="68">
        <f t="shared" si="24"/>
        <v>4177.9120000000003</v>
      </c>
      <c r="H89" s="68">
        <f t="shared" si="24"/>
        <v>41847.934999999998</v>
      </c>
      <c r="I89" s="63"/>
      <c r="J89" s="193">
        <f t="shared" si="20"/>
        <v>41847.934999999998</v>
      </c>
      <c r="K89" s="68">
        <f t="shared" si="25"/>
        <v>4149.0630000000001</v>
      </c>
      <c r="L89" s="54">
        <f t="shared" si="26"/>
        <v>3318.6959999999999</v>
      </c>
      <c r="M89" s="54">
        <f t="shared" si="26"/>
        <v>29.451600000000003</v>
      </c>
      <c r="N89" s="54">
        <f t="shared" si="26"/>
        <v>5336.1059999999998</v>
      </c>
      <c r="O89" s="54">
        <f t="shared" si="26"/>
        <v>1213.7550000000001</v>
      </c>
      <c r="P89" s="54">
        <f t="shared" si="27"/>
        <v>3283.1136000000001</v>
      </c>
      <c r="Q89" s="180">
        <f t="shared" si="22"/>
        <v>75417.897277222015</v>
      </c>
      <c r="R89" s="27"/>
    </row>
    <row r="90" spans="1:18">
      <c r="A90" s="310" t="s">
        <v>64</v>
      </c>
      <c r="B90" s="311"/>
      <c r="C90" s="32" t="s">
        <v>11</v>
      </c>
      <c r="D90" s="52">
        <v>0.83430000000000004</v>
      </c>
      <c r="E90" s="52">
        <v>6.3899999999999998E-2</v>
      </c>
      <c r="F90" s="191">
        <f t="shared" si="18"/>
        <v>0.8982</v>
      </c>
      <c r="G90" s="77">
        <v>3.8250999999999999</v>
      </c>
      <c r="H90" s="77">
        <v>5.2388000000000003</v>
      </c>
      <c r="I90" s="174"/>
      <c r="J90" s="191">
        <f t="shared" si="20"/>
        <v>5.2388000000000003</v>
      </c>
      <c r="K90" s="77">
        <v>1.4661</v>
      </c>
      <c r="L90" s="33">
        <v>2.5434000000000001</v>
      </c>
      <c r="M90" s="33"/>
      <c r="N90" s="33">
        <v>1.29E-2</v>
      </c>
      <c r="O90" s="33">
        <v>2.5999999999999999E-3</v>
      </c>
      <c r="P90" s="33"/>
      <c r="Q90" s="175">
        <f t="shared" si="22"/>
        <v>13.9871</v>
      </c>
      <c r="R90" s="27"/>
    </row>
    <row r="91" spans="1:18">
      <c r="A91" s="312"/>
      <c r="B91" s="313"/>
      <c r="C91" s="192" t="s">
        <v>13</v>
      </c>
      <c r="D91" s="53">
        <v>1053.1134866266907</v>
      </c>
      <c r="E91" s="53">
        <v>65.876999999999995</v>
      </c>
      <c r="F91" s="193">
        <f t="shared" si="18"/>
        <v>1118.9904866266907</v>
      </c>
      <c r="G91" s="78">
        <v>4674.4359999999997</v>
      </c>
      <c r="H91" s="78">
        <v>3403.6790000000001</v>
      </c>
      <c r="I91" s="179"/>
      <c r="J91" s="193">
        <f t="shared" si="20"/>
        <v>3403.6790000000001</v>
      </c>
      <c r="K91" s="78">
        <v>1233.143</v>
      </c>
      <c r="L91" s="54">
        <v>2309.9589999999998</v>
      </c>
      <c r="M91" s="54"/>
      <c r="N91" s="54">
        <v>12.872999999999999</v>
      </c>
      <c r="O91" s="54">
        <v>2.1840000000000002</v>
      </c>
      <c r="P91" s="54"/>
      <c r="Q91" s="180">
        <f t="shared" si="22"/>
        <v>12755.264486626687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18"/>
        <v>0</v>
      </c>
      <c r="G92" s="77">
        <v>0</v>
      </c>
      <c r="H92" s="77"/>
      <c r="I92" s="174"/>
      <c r="J92" s="191">
        <f t="shared" si="20"/>
        <v>0</v>
      </c>
      <c r="K92" s="77"/>
      <c r="L92" s="33">
        <v>1.1999999999999999E-3</v>
      </c>
      <c r="M92" s="33"/>
      <c r="N92" s="33"/>
      <c r="O92" s="33"/>
      <c r="P92" s="33"/>
      <c r="Q92" s="175">
        <f t="shared" si="22"/>
        <v>1.1999999999999999E-3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18"/>
        <v>0</v>
      </c>
      <c r="G93" s="78">
        <v>10.753</v>
      </c>
      <c r="H93" s="78"/>
      <c r="I93" s="179"/>
      <c r="J93" s="193">
        <f t="shared" si="20"/>
        <v>0</v>
      </c>
      <c r="K93" s="78"/>
      <c r="L93" s="54">
        <v>1.89</v>
      </c>
      <c r="M93" s="54"/>
      <c r="N93" s="54"/>
      <c r="O93" s="54"/>
      <c r="P93" s="54"/>
      <c r="Q93" s="180">
        <f t="shared" si="22"/>
        <v>12.643000000000001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5.21E-2</v>
      </c>
      <c r="F94" s="191">
        <f t="shared" si="18"/>
        <v>5.21E-2</v>
      </c>
      <c r="G94" s="77">
        <v>0</v>
      </c>
      <c r="H94" s="77">
        <v>6.4000000000000003E-3</v>
      </c>
      <c r="I94" s="174"/>
      <c r="J94" s="191">
        <f t="shared" si="20"/>
        <v>6.4000000000000003E-3</v>
      </c>
      <c r="K94" s="77"/>
      <c r="L94" s="33"/>
      <c r="M94" s="33"/>
      <c r="N94" s="33"/>
      <c r="O94" s="33"/>
      <c r="P94" s="33"/>
      <c r="Q94" s="175">
        <f t="shared" si="22"/>
        <v>5.8500000000000003E-2</v>
      </c>
      <c r="R94" s="27"/>
    </row>
    <row r="95" spans="1:18">
      <c r="A95" s="312"/>
      <c r="B95" s="313"/>
      <c r="C95" s="192" t="s">
        <v>13</v>
      </c>
      <c r="D95" s="53"/>
      <c r="E95" s="53">
        <v>147.66200000000001</v>
      </c>
      <c r="F95" s="193">
        <f t="shared" si="18"/>
        <v>147.66200000000001</v>
      </c>
      <c r="G95" s="78">
        <v>0.33600000000000002</v>
      </c>
      <c r="H95" s="78">
        <v>4.5149999999999997</v>
      </c>
      <c r="I95" s="179"/>
      <c r="J95" s="193">
        <f t="shared" si="20"/>
        <v>4.5149999999999997</v>
      </c>
      <c r="K95" s="78"/>
      <c r="L95" s="54"/>
      <c r="M95" s="54"/>
      <c r="N95" s="54"/>
      <c r="O95" s="54"/>
      <c r="P95" s="54"/>
      <c r="Q95" s="180">
        <f t="shared" si="22"/>
        <v>152.51300000000001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1.1305000000000001</v>
      </c>
      <c r="F96" s="191">
        <f t="shared" si="18"/>
        <v>1.1305000000000001</v>
      </c>
      <c r="G96" s="77">
        <v>3.3E-3</v>
      </c>
      <c r="H96" s="77">
        <v>0.56499999999999995</v>
      </c>
      <c r="I96" s="174"/>
      <c r="J96" s="191">
        <f t="shared" si="20"/>
        <v>0.56499999999999995</v>
      </c>
      <c r="K96" s="77"/>
      <c r="L96" s="33"/>
      <c r="M96" s="33"/>
      <c r="N96" s="33"/>
      <c r="O96" s="33"/>
      <c r="P96" s="33"/>
      <c r="Q96" s="175">
        <f t="shared" si="22"/>
        <v>1.6988000000000001</v>
      </c>
      <c r="R96" s="27"/>
    </row>
    <row r="97" spans="1:18">
      <c r="A97" s="312"/>
      <c r="B97" s="313"/>
      <c r="C97" s="192" t="s">
        <v>13</v>
      </c>
      <c r="D97" s="53"/>
      <c r="E97" s="53">
        <v>1886.375</v>
      </c>
      <c r="F97" s="193">
        <f t="shared" si="18"/>
        <v>1886.375</v>
      </c>
      <c r="G97" s="78">
        <v>4.1760000000000002</v>
      </c>
      <c r="H97" s="78">
        <v>990.17100000000005</v>
      </c>
      <c r="I97" s="179"/>
      <c r="J97" s="193">
        <f t="shared" si="20"/>
        <v>990.17100000000005</v>
      </c>
      <c r="K97" s="78"/>
      <c r="L97" s="54"/>
      <c r="M97" s="54"/>
      <c r="N97" s="54"/>
      <c r="O97" s="54"/>
      <c r="P97" s="54"/>
      <c r="Q97" s="180">
        <f t="shared" si="22"/>
        <v>2880.7219999999998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18"/>
        <v>0</v>
      </c>
      <c r="G98" s="77"/>
      <c r="H98" s="77"/>
      <c r="I98" s="174"/>
      <c r="J98" s="191">
        <f t="shared" si="20"/>
        <v>0</v>
      </c>
      <c r="K98" s="77"/>
      <c r="L98" s="33"/>
      <c r="M98" s="33"/>
      <c r="N98" s="33"/>
      <c r="O98" s="33"/>
      <c r="P98" s="33"/>
      <c r="Q98" s="175">
        <f t="shared" si="22"/>
        <v>0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18"/>
        <v>0</v>
      </c>
      <c r="G99" s="78"/>
      <c r="H99" s="78"/>
      <c r="I99" s="179"/>
      <c r="J99" s="193">
        <f t="shared" si="20"/>
        <v>0</v>
      </c>
      <c r="K99" s="78"/>
      <c r="L99" s="54"/>
      <c r="M99" s="54"/>
      <c r="N99" s="54"/>
      <c r="O99" s="54"/>
      <c r="P99" s="54"/>
      <c r="Q99" s="180">
        <f t="shared" si="22"/>
        <v>0</v>
      </c>
      <c r="R99" s="27"/>
    </row>
    <row r="100" spans="1:18">
      <c r="A100" s="310" t="s">
        <v>69</v>
      </c>
      <c r="B100" s="311"/>
      <c r="C100" s="32" t="s">
        <v>11</v>
      </c>
      <c r="D100" s="52">
        <v>4.2000000000000003E-2</v>
      </c>
      <c r="E100" s="52"/>
      <c r="F100" s="191">
        <f t="shared" si="18"/>
        <v>4.2000000000000003E-2</v>
      </c>
      <c r="G100" s="77">
        <v>5.8400000000000001E-2</v>
      </c>
      <c r="H100" s="77"/>
      <c r="I100" s="174"/>
      <c r="J100" s="191">
        <f t="shared" si="20"/>
        <v>0</v>
      </c>
      <c r="K100" s="77"/>
      <c r="L100" s="33"/>
      <c r="M100" s="33"/>
      <c r="N100" s="33"/>
      <c r="O100" s="33"/>
      <c r="P100" s="33"/>
      <c r="Q100" s="175">
        <f t="shared" si="22"/>
        <v>0.1004</v>
      </c>
      <c r="R100" s="27"/>
    </row>
    <row r="101" spans="1:18">
      <c r="A101" s="312"/>
      <c r="B101" s="313"/>
      <c r="C101" s="192" t="s">
        <v>13</v>
      </c>
      <c r="D101" s="53">
        <v>19.845004459023446</v>
      </c>
      <c r="E101" s="53"/>
      <c r="F101" s="193">
        <f t="shared" si="18"/>
        <v>19.845004459023446</v>
      </c>
      <c r="G101" s="78">
        <v>19.5</v>
      </c>
      <c r="H101" s="78"/>
      <c r="I101" s="179"/>
      <c r="J101" s="193">
        <f t="shared" si="20"/>
        <v>0</v>
      </c>
      <c r="K101" s="78"/>
      <c r="L101" s="54"/>
      <c r="M101" s="54"/>
      <c r="N101" s="54"/>
      <c r="O101" s="54"/>
      <c r="P101" s="54"/>
      <c r="Q101" s="180">
        <f t="shared" si="22"/>
        <v>39.345004459023443</v>
      </c>
      <c r="R101" s="27"/>
    </row>
    <row r="102" spans="1:18">
      <c r="A102" s="310" t="s">
        <v>70</v>
      </c>
      <c r="B102" s="311"/>
      <c r="C102" s="32" t="s">
        <v>11</v>
      </c>
      <c r="D102" s="52">
        <v>3.0599500000000002</v>
      </c>
      <c r="E102" s="52">
        <v>927.18786</v>
      </c>
      <c r="F102" s="191">
        <f t="shared" si="18"/>
        <v>930.24780999999996</v>
      </c>
      <c r="G102" s="77">
        <v>9.0985999999999994</v>
      </c>
      <c r="H102" s="77">
        <v>59.1952</v>
      </c>
      <c r="I102" s="174"/>
      <c r="J102" s="191">
        <f t="shared" si="20"/>
        <v>59.1952</v>
      </c>
      <c r="K102" s="77">
        <v>5.1340000000000003</v>
      </c>
      <c r="L102" s="33">
        <v>18.119599999999998</v>
      </c>
      <c r="M102" s="33">
        <v>0.1885</v>
      </c>
      <c r="N102" s="33">
        <v>10.0601</v>
      </c>
      <c r="O102" s="33">
        <v>2.7425999999999999</v>
      </c>
      <c r="P102" s="33">
        <v>2.2884000000000002</v>
      </c>
      <c r="Q102" s="175">
        <f t="shared" si="22"/>
        <v>1037.0748099999998</v>
      </c>
      <c r="R102" s="27"/>
    </row>
    <row r="103" spans="1:18">
      <c r="A103" s="312"/>
      <c r="B103" s="313"/>
      <c r="C103" s="192" t="s">
        <v>13</v>
      </c>
      <c r="D103" s="53">
        <v>7047.0734334244707</v>
      </c>
      <c r="E103" s="53">
        <v>358530.03200000001</v>
      </c>
      <c r="F103" s="193">
        <f t="shared" si="18"/>
        <v>365577.10543342447</v>
      </c>
      <c r="G103" s="78">
        <v>10540.641</v>
      </c>
      <c r="H103" s="78">
        <v>23761.538</v>
      </c>
      <c r="I103" s="179"/>
      <c r="J103" s="193">
        <f t="shared" si="20"/>
        <v>23761.538</v>
      </c>
      <c r="K103" s="78">
        <v>1378.37</v>
      </c>
      <c r="L103" s="54">
        <v>3263.1729999999998</v>
      </c>
      <c r="M103" s="54">
        <f>27.717*1.08</f>
        <v>29.934360000000002</v>
      </c>
      <c r="N103" s="54">
        <v>6504.4160000000002</v>
      </c>
      <c r="O103" s="54">
        <v>2440.2359999999999</v>
      </c>
      <c r="P103" s="54">
        <f>2614.768*1.08</f>
        <v>2823.9494400000003</v>
      </c>
      <c r="Q103" s="180">
        <f t="shared" si="22"/>
        <v>416319.36323342449</v>
      </c>
      <c r="R103" s="27"/>
    </row>
    <row r="104" spans="1:18">
      <c r="A104" s="314" t="s">
        <v>71</v>
      </c>
      <c r="B104" s="315"/>
      <c r="C104" s="32" t="s">
        <v>11</v>
      </c>
      <c r="D104" s="110">
        <f>D9+D11+D23+D29+D37+D39+D41+D43+D45+D47+D49+D51+D53+D59+D76+D88+D90+D92+D94+D96+D98+D100+D102</f>
        <v>175.47595000000001</v>
      </c>
      <c r="E104" s="33">
        <f t="shared" ref="E104:E105" si="28">+E9+E11+E23+E29+E37+E39+E41+E43+E45+E47+E49+E51+E53+E59+E76+E88+E90+E92+E94+E96+E98+E100+E102</f>
        <v>1221.06186</v>
      </c>
      <c r="F104" s="191">
        <f t="shared" si="18"/>
        <v>1396.53781</v>
      </c>
      <c r="G104" s="182">
        <f t="shared" ref="G104:H105" si="29">+G9+G11+G23+G29+G37+G39+G41+G43+G45+G47+G49+G51+G53+G59+G76+G88+G90+G92+G94+G96+G98+G100+G102</f>
        <v>2902.001299999999</v>
      </c>
      <c r="H104" s="49">
        <f t="shared" si="29"/>
        <v>8168.6304</v>
      </c>
      <c r="I104" s="50"/>
      <c r="J104" s="191">
        <f t="shared" si="20"/>
        <v>8168.6304</v>
      </c>
      <c r="K104" s="49">
        <f t="shared" ref="K104:P105" si="30">+K9+K11+K23+K29+K37+K39+K41+K43+K45+K47+K49+K51+K53+K59+K76+K88+K90+K92+K94+K96+K98+K100+K102</f>
        <v>2147.9309000000003</v>
      </c>
      <c r="L104" s="33">
        <f t="shared" si="30"/>
        <v>447.95224999999994</v>
      </c>
      <c r="M104" s="33">
        <f t="shared" si="30"/>
        <v>0.23</v>
      </c>
      <c r="N104" s="33">
        <f t="shared" si="30"/>
        <v>26.994900000000001</v>
      </c>
      <c r="O104" s="33">
        <f t="shared" si="30"/>
        <v>6.422600000000001</v>
      </c>
      <c r="P104" s="33">
        <f t="shared" si="30"/>
        <v>36.694099999999999</v>
      </c>
      <c r="Q104" s="175">
        <f t="shared" si="22"/>
        <v>15133.394259999999</v>
      </c>
      <c r="R104" s="27"/>
    </row>
    <row r="105" spans="1:18">
      <c r="A105" s="316"/>
      <c r="B105" s="317"/>
      <c r="C105" s="192" t="s">
        <v>13</v>
      </c>
      <c r="D105" s="111">
        <f>D10+D12+D24+D30+D38+D40+D42+D44+D46+D48+D50+D52+D54+D60+D77+D89+D91+D93+D95+D97+D99+D101+D103</f>
        <v>122596.91034660497</v>
      </c>
      <c r="E105" s="54">
        <f t="shared" si="28"/>
        <v>533014.68500000006</v>
      </c>
      <c r="F105" s="193">
        <f t="shared" si="18"/>
        <v>655611.59534660506</v>
      </c>
      <c r="G105" s="68">
        <f t="shared" si="29"/>
        <v>599832.07399999979</v>
      </c>
      <c r="H105" s="68">
        <f t="shared" si="29"/>
        <v>1015575.075</v>
      </c>
      <c r="I105" s="63"/>
      <c r="J105" s="193">
        <f t="shared" si="20"/>
        <v>1015575.075</v>
      </c>
      <c r="K105" s="68">
        <f t="shared" si="30"/>
        <v>231530.50499999998</v>
      </c>
      <c r="L105" s="54">
        <f t="shared" si="30"/>
        <v>84450.720999999976</v>
      </c>
      <c r="M105" s="54">
        <f t="shared" si="30"/>
        <v>59.385960000000004</v>
      </c>
      <c r="N105" s="54">
        <f t="shared" si="30"/>
        <v>12582.420999999998</v>
      </c>
      <c r="O105" s="54">
        <f t="shared" si="30"/>
        <v>3844.0249999999996</v>
      </c>
      <c r="P105" s="54">
        <f t="shared" si="30"/>
        <v>9617.2164000000012</v>
      </c>
      <c r="Q105" s="180">
        <f t="shared" si="22"/>
        <v>2613103.0187066044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18"/>
        <v>0</v>
      </c>
      <c r="G106" s="77">
        <v>0.49</v>
      </c>
      <c r="H106" s="77">
        <v>0.98109999999999997</v>
      </c>
      <c r="I106" s="174"/>
      <c r="J106" s="191">
        <f t="shared" si="20"/>
        <v>0.98109999999999997</v>
      </c>
      <c r="K106" s="77">
        <v>5.0799999999999998E-2</v>
      </c>
      <c r="L106" s="33"/>
      <c r="M106" s="33"/>
      <c r="N106" s="33"/>
      <c r="O106" s="33"/>
      <c r="P106" s="33"/>
      <c r="Q106" s="175">
        <f t="shared" si="22"/>
        <v>1.5218999999999998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18"/>
        <v>0</v>
      </c>
      <c r="G107" s="78">
        <v>137.624</v>
      </c>
      <c r="H107" s="78">
        <v>2612.9969999999998</v>
      </c>
      <c r="I107" s="179"/>
      <c r="J107" s="193">
        <f t="shared" si="20"/>
        <v>2612.9969999999998</v>
      </c>
      <c r="K107" s="78">
        <v>158.78100000000001</v>
      </c>
      <c r="L107" s="54"/>
      <c r="M107" s="54"/>
      <c r="N107" s="54"/>
      <c r="O107" s="54"/>
      <c r="P107" s="54"/>
      <c r="Q107" s="180">
        <f t="shared" si="22"/>
        <v>2909.4019999999996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0.93259999999999998</v>
      </c>
      <c r="E108" s="52">
        <v>0.84730000000000005</v>
      </c>
      <c r="F108" s="191">
        <f t="shared" si="18"/>
        <v>1.7799</v>
      </c>
      <c r="G108" s="77">
        <v>11.454599999999999</v>
      </c>
      <c r="H108" s="77">
        <v>28.5746</v>
      </c>
      <c r="I108" s="174"/>
      <c r="J108" s="191">
        <f t="shared" si="20"/>
        <v>28.5746</v>
      </c>
      <c r="K108" s="77">
        <v>8.7606000000000002</v>
      </c>
      <c r="L108" s="33">
        <v>9.6275999999999993</v>
      </c>
      <c r="M108" s="33"/>
      <c r="N108" s="33">
        <v>6.4600000000000005E-2</v>
      </c>
      <c r="O108" s="33">
        <v>6.8723000000000001</v>
      </c>
      <c r="P108" s="33">
        <v>6.1699999999999998E-2</v>
      </c>
      <c r="Q108" s="175">
        <f t="shared" si="22"/>
        <v>67.195899999999995</v>
      </c>
      <c r="R108" s="27"/>
    </row>
    <row r="109" spans="1:18">
      <c r="A109" s="176" t="s">
        <v>0</v>
      </c>
      <c r="B109" s="307"/>
      <c r="C109" s="192" t="s">
        <v>13</v>
      </c>
      <c r="D109" s="53">
        <v>589.12258237141941</v>
      </c>
      <c r="E109" s="53">
        <v>435.77499999999998</v>
      </c>
      <c r="F109" s="193">
        <f t="shared" si="18"/>
        <v>1024.8975823714195</v>
      </c>
      <c r="G109" s="78">
        <v>6178.0590000000002</v>
      </c>
      <c r="H109" s="78">
        <v>10937.727999999999</v>
      </c>
      <c r="I109" s="179"/>
      <c r="J109" s="193">
        <f t="shared" si="20"/>
        <v>10937.727999999999</v>
      </c>
      <c r="K109" s="78">
        <v>3485.4490000000001</v>
      </c>
      <c r="L109" s="54">
        <v>4083.2919999999999</v>
      </c>
      <c r="M109" s="54"/>
      <c r="N109" s="54">
        <v>23.143000000000001</v>
      </c>
      <c r="O109" s="54">
        <v>2885.732</v>
      </c>
      <c r="P109" s="54">
        <f>30.68*1.08</f>
        <v>33.134399999999999</v>
      </c>
      <c r="Q109" s="180">
        <f t="shared" si="22"/>
        <v>28651.434982371418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0.61240000000000006</v>
      </c>
      <c r="E110" s="52">
        <v>3.2038000000000002</v>
      </c>
      <c r="F110" s="191">
        <f t="shared" si="18"/>
        <v>3.8162000000000003</v>
      </c>
      <c r="G110" s="77">
        <v>7.3987999999999996</v>
      </c>
      <c r="H110" s="77">
        <v>569.73869999999999</v>
      </c>
      <c r="I110" s="174"/>
      <c r="J110" s="191">
        <f t="shared" si="20"/>
        <v>569.73869999999999</v>
      </c>
      <c r="K110" s="77">
        <v>63.846699999999998</v>
      </c>
      <c r="L110" s="33">
        <v>2.1030000000000002</v>
      </c>
      <c r="M110" s="33"/>
      <c r="N110" s="33">
        <v>0.217</v>
      </c>
      <c r="O110" s="33"/>
      <c r="P110" s="33"/>
      <c r="Q110" s="175">
        <f t="shared" si="22"/>
        <v>647.12040000000002</v>
      </c>
      <c r="R110" s="27"/>
    </row>
    <row r="111" spans="1:18">
      <c r="A111" s="176"/>
      <c r="B111" s="307"/>
      <c r="C111" s="192" t="s">
        <v>13</v>
      </c>
      <c r="D111" s="53">
        <v>305.22036858072431</v>
      </c>
      <c r="E111" s="53">
        <v>1810.165</v>
      </c>
      <c r="F111" s="193">
        <f t="shared" si="18"/>
        <v>2115.3853685807244</v>
      </c>
      <c r="G111" s="78">
        <v>3926.127</v>
      </c>
      <c r="H111" s="78">
        <v>151986.98300000001</v>
      </c>
      <c r="I111" s="179"/>
      <c r="J111" s="193">
        <f t="shared" si="20"/>
        <v>151986.98300000001</v>
      </c>
      <c r="K111" s="78">
        <v>15766.823</v>
      </c>
      <c r="L111" s="54">
        <v>729.45600000000002</v>
      </c>
      <c r="M111" s="54"/>
      <c r="N111" s="54">
        <v>37.686999999999998</v>
      </c>
      <c r="O111" s="54"/>
      <c r="P111" s="54"/>
      <c r="Q111" s="180">
        <f t="shared" si="22"/>
        <v>174562.46136858076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3.8899999999999997E-2</v>
      </c>
      <c r="F112" s="191">
        <f t="shared" si="18"/>
        <v>3.8899999999999997E-2</v>
      </c>
      <c r="G112" s="77">
        <v>2E-3</v>
      </c>
      <c r="H112" s="77">
        <v>6.7799999999999999E-2</v>
      </c>
      <c r="I112" s="174"/>
      <c r="J112" s="191">
        <f t="shared" si="20"/>
        <v>6.7799999999999999E-2</v>
      </c>
      <c r="K112" s="77"/>
      <c r="L112" s="33">
        <v>5.0000000000000001E-3</v>
      </c>
      <c r="M112" s="33"/>
      <c r="N112" s="33"/>
      <c r="O112" s="33"/>
      <c r="P112" s="33">
        <v>4.7000000000000002E-3</v>
      </c>
      <c r="Q112" s="175">
        <f t="shared" si="22"/>
        <v>0.11839999999999999</v>
      </c>
      <c r="R112" s="27"/>
    </row>
    <row r="113" spans="1:18">
      <c r="A113" s="176"/>
      <c r="B113" s="307"/>
      <c r="C113" s="192" t="s">
        <v>13</v>
      </c>
      <c r="D113" s="53"/>
      <c r="E113" s="53">
        <v>292.43700000000001</v>
      </c>
      <c r="F113" s="193">
        <f t="shared" si="18"/>
        <v>292.43700000000001</v>
      </c>
      <c r="G113" s="78">
        <v>4.2960000000000003</v>
      </c>
      <c r="H113" s="78">
        <v>195.983</v>
      </c>
      <c r="I113" s="179"/>
      <c r="J113" s="193">
        <f t="shared" si="20"/>
        <v>195.983</v>
      </c>
      <c r="K113" s="78"/>
      <c r="L113" s="54">
        <v>3.15</v>
      </c>
      <c r="M113" s="54"/>
      <c r="N113" s="54"/>
      <c r="O113" s="54"/>
      <c r="P113" s="54">
        <f>2.35*1.08</f>
        <v>2.5380000000000003</v>
      </c>
      <c r="Q113" s="180">
        <f t="shared" si="22"/>
        <v>498.404</v>
      </c>
      <c r="R113" s="27"/>
    </row>
    <row r="114" spans="1:18">
      <c r="A114" s="176"/>
      <c r="B114" s="306" t="s">
        <v>78</v>
      </c>
      <c r="C114" s="32" t="s">
        <v>11</v>
      </c>
      <c r="D114" s="52">
        <v>5.3800000000000001E-2</v>
      </c>
      <c r="E114" s="52">
        <v>4.6600000000000003E-2</v>
      </c>
      <c r="F114" s="191">
        <f t="shared" si="18"/>
        <v>0.1004</v>
      </c>
      <c r="G114" s="77">
        <v>0.63929999999999998</v>
      </c>
      <c r="H114" s="77">
        <v>1.0528</v>
      </c>
      <c r="I114" s="174"/>
      <c r="J114" s="191">
        <f t="shared" si="20"/>
        <v>1.0528</v>
      </c>
      <c r="K114" s="77">
        <v>2.4799999999999999E-2</v>
      </c>
      <c r="L114" s="33">
        <v>0.15060000000000001</v>
      </c>
      <c r="M114" s="33">
        <v>4.4600000000000001E-2</v>
      </c>
      <c r="N114" s="33">
        <v>0.12429999999999999</v>
      </c>
      <c r="O114" s="33"/>
      <c r="P114" s="33">
        <v>0.38600000000000001</v>
      </c>
      <c r="Q114" s="175">
        <f t="shared" si="22"/>
        <v>2.5228000000000002</v>
      </c>
      <c r="R114" s="27"/>
    </row>
    <row r="115" spans="1:18">
      <c r="A115" s="176"/>
      <c r="B115" s="307"/>
      <c r="C115" s="192" t="s">
        <v>13</v>
      </c>
      <c r="D115" s="53">
        <v>113.98802561225321</v>
      </c>
      <c r="E115" s="53">
        <v>34.866</v>
      </c>
      <c r="F115" s="193">
        <f t="shared" si="18"/>
        <v>148.85402561225322</v>
      </c>
      <c r="G115" s="78">
        <v>478.78699999999998</v>
      </c>
      <c r="H115" s="78">
        <v>964.86599999999999</v>
      </c>
      <c r="I115" s="179"/>
      <c r="J115" s="193">
        <f t="shared" si="20"/>
        <v>964.86599999999999</v>
      </c>
      <c r="K115" s="78">
        <v>31.605</v>
      </c>
      <c r="L115" s="54">
        <v>32.076000000000001</v>
      </c>
      <c r="M115" s="54">
        <f>13.867*1.08</f>
        <v>14.976360000000001</v>
      </c>
      <c r="N115" s="54">
        <v>38.491999999999997</v>
      </c>
      <c r="O115" s="54"/>
      <c r="P115" s="54">
        <f>118.165*1.08</f>
        <v>127.61820000000002</v>
      </c>
      <c r="Q115" s="180">
        <f t="shared" si="22"/>
        <v>1837.2745856122533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18"/>
        <v>0</v>
      </c>
      <c r="G116" s="77"/>
      <c r="H116" s="77"/>
      <c r="I116" s="174"/>
      <c r="J116" s="191">
        <f t="shared" si="20"/>
        <v>0</v>
      </c>
      <c r="K116" s="77"/>
      <c r="L116" s="33"/>
      <c r="M116" s="33"/>
      <c r="N116" s="33"/>
      <c r="O116" s="33"/>
      <c r="P116" s="33"/>
      <c r="Q116" s="175">
        <f t="shared" si="22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18"/>
        <v>0</v>
      </c>
      <c r="G117" s="78"/>
      <c r="H117" s="78"/>
      <c r="I117" s="179"/>
      <c r="J117" s="193">
        <f t="shared" si="20"/>
        <v>0</v>
      </c>
      <c r="K117" s="78"/>
      <c r="L117" s="54"/>
      <c r="M117" s="54"/>
      <c r="N117" s="54"/>
      <c r="O117" s="54"/>
      <c r="P117" s="54"/>
      <c r="Q117" s="180">
        <f t="shared" si="22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4.5600000000000002E-2</v>
      </c>
      <c r="E118" s="52">
        <v>7.4099999999999999E-2</v>
      </c>
      <c r="F118" s="191">
        <f t="shared" si="18"/>
        <v>0.1197</v>
      </c>
      <c r="G118" s="77">
        <v>0.26250000000000001</v>
      </c>
      <c r="H118" s="77">
        <v>15.004</v>
      </c>
      <c r="I118" s="174"/>
      <c r="J118" s="191">
        <f t="shared" si="20"/>
        <v>15.004</v>
      </c>
      <c r="K118" s="77">
        <v>1.35E-2</v>
      </c>
      <c r="L118" s="33"/>
      <c r="M118" s="33"/>
      <c r="N118" s="33"/>
      <c r="O118" s="33"/>
      <c r="P118" s="33">
        <v>0.25509999999999999</v>
      </c>
      <c r="Q118" s="175">
        <f t="shared" si="22"/>
        <v>15.6548</v>
      </c>
      <c r="R118" s="27"/>
    </row>
    <row r="119" spans="1:18">
      <c r="A119" s="176"/>
      <c r="B119" s="307"/>
      <c r="C119" s="192" t="s">
        <v>13</v>
      </c>
      <c r="D119" s="53">
        <v>45.81151029350228</v>
      </c>
      <c r="E119" s="53">
        <v>59.588000000000001</v>
      </c>
      <c r="F119" s="193">
        <f t="shared" si="18"/>
        <v>105.39951029350229</v>
      </c>
      <c r="G119" s="78">
        <v>235.69</v>
      </c>
      <c r="H119" s="78">
        <v>33257.788</v>
      </c>
      <c r="I119" s="179"/>
      <c r="J119" s="193">
        <f t="shared" si="20"/>
        <v>33257.788</v>
      </c>
      <c r="K119" s="78">
        <v>10.763</v>
      </c>
      <c r="L119" s="54"/>
      <c r="M119" s="54"/>
      <c r="N119" s="54"/>
      <c r="O119" s="54"/>
      <c r="P119" s="54">
        <f>485.709*1.08</f>
        <v>524.56572000000006</v>
      </c>
      <c r="Q119" s="180">
        <f t="shared" si="22"/>
        <v>34134.206230293501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1.26E-2</v>
      </c>
      <c r="E120" s="52">
        <v>0.252</v>
      </c>
      <c r="F120" s="191">
        <f t="shared" si="18"/>
        <v>0.2646</v>
      </c>
      <c r="G120" s="77"/>
      <c r="H120" s="77">
        <v>1.7856000000000001</v>
      </c>
      <c r="I120" s="174"/>
      <c r="J120" s="191">
        <f t="shared" si="20"/>
        <v>1.7856000000000001</v>
      </c>
      <c r="K120" s="77">
        <v>0.75</v>
      </c>
      <c r="L120" s="33"/>
      <c r="M120" s="33"/>
      <c r="N120" s="33"/>
      <c r="O120" s="33"/>
      <c r="P120" s="33"/>
      <c r="Q120" s="175">
        <f t="shared" si="22"/>
        <v>2.8002000000000002</v>
      </c>
      <c r="R120" s="27"/>
    </row>
    <row r="121" spans="1:18">
      <c r="A121" s="176"/>
      <c r="B121" s="307"/>
      <c r="C121" s="192" t="s">
        <v>13</v>
      </c>
      <c r="D121" s="53">
        <v>3.9690008918046895</v>
      </c>
      <c r="E121" s="53">
        <v>105.84</v>
      </c>
      <c r="F121" s="193">
        <f t="shared" si="18"/>
        <v>109.80900089180469</v>
      </c>
      <c r="G121" s="78"/>
      <c r="H121" s="78">
        <v>2108.4209999999998</v>
      </c>
      <c r="I121" s="179"/>
      <c r="J121" s="193">
        <f t="shared" si="20"/>
        <v>2108.4209999999998</v>
      </c>
      <c r="K121" s="78">
        <v>52.5</v>
      </c>
      <c r="L121" s="54"/>
      <c r="M121" s="54"/>
      <c r="N121" s="54"/>
      <c r="O121" s="54"/>
      <c r="P121" s="54"/>
      <c r="Q121" s="180">
        <f t="shared" si="22"/>
        <v>2270.7300008918046</v>
      </c>
      <c r="R121" s="27"/>
    </row>
    <row r="122" spans="1:18">
      <c r="A122" s="176"/>
      <c r="B122" s="306" t="s">
        <v>84</v>
      </c>
      <c r="C122" s="32" t="s">
        <v>11</v>
      </c>
      <c r="D122" s="52">
        <v>5.1840000000000002</v>
      </c>
      <c r="E122" s="52">
        <v>0.39</v>
      </c>
      <c r="F122" s="191">
        <f t="shared" si="18"/>
        <v>5.5739999999999998</v>
      </c>
      <c r="G122" s="77">
        <v>0.39560000000000001</v>
      </c>
      <c r="H122" s="77">
        <v>9.0534999999999997</v>
      </c>
      <c r="I122" s="174"/>
      <c r="J122" s="191">
        <f t="shared" si="20"/>
        <v>9.0534999999999997</v>
      </c>
      <c r="K122" s="77">
        <v>0.08</v>
      </c>
      <c r="L122" s="33">
        <v>3.81</v>
      </c>
      <c r="M122" s="33">
        <v>6.7516999999999996</v>
      </c>
      <c r="N122" s="33">
        <v>3.4209999999999998</v>
      </c>
      <c r="O122" s="33"/>
      <c r="P122" s="33"/>
      <c r="Q122" s="175">
        <f t="shared" si="22"/>
        <v>29.085799999999999</v>
      </c>
      <c r="R122" s="27"/>
    </row>
    <row r="123" spans="1:18">
      <c r="A123" s="176"/>
      <c r="B123" s="307"/>
      <c r="C123" s="192" t="s">
        <v>13</v>
      </c>
      <c r="D123" s="53">
        <v>2730.9876136324046</v>
      </c>
      <c r="E123" s="53">
        <v>118.02</v>
      </c>
      <c r="F123" s="193">
        <f t="shared" si="18"/>
        <v>2849.0076136324046</v>
      </c>
      <c r="G123" s="78">
        <v>537.99900000000002</v>
      </c>
      <c r="H123" s="78">
        <v>1898.8810000000001</v>
      </c>
      <c r="I123" s="179"/>
      <c r="J123" s="193">
        <f t="shared" si="20"/>
        <v>1898.8810000000001</v>
      </c>
      <c r="K123" s="78">
        <v>54.603000000000002</v>
      </c>
      <c r="L123" s="54">
        <v>1691.6279999999999</v>
      </c>
      <c r="M123" s="54">
        <f>10012.056*1.08</f>
        <v>10813.020480000001</v>
      </c>
      <c r="N123" s="54">
        <v>2673.55</v>
      </c>
      <c r="O123" s="54"/>
      <c r="P123" s="54"/>
      <c r="Q123" s="180">
        <f t="shared" si="22"/>
        <v>20518.689093632405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2.7503000000000002</v>
      </c>
      <c r="E124" s="52">
        <v>1.6968000000000001</v>
      </c>
      <c r="F124" s="191">
        <f t="shared" si="18"/>
        <v>4.4471000000000007</v>
      </c>
      <c r="G124" s="77">
        <v>0.9073</v>
      </c>
      <c r="H124" s="77">
        <v>3.2953999999999999</v>
      </c>
      <c r="I124" s="174"/>
      <c r="J124" s="191">
        <f t="shared" si="20"/>
        <v>3.2953999999999999</v>
      </c>
      <c r="K124" s="77">
        <v>0.47070000000000001</v>
      </c>
      <c r="L124" s="33">
        <v>0.51180000000000003</v>
      </c>
      <c r="M124" s="33">
        <v>0.16500000000000001</v>
      </c>
      <c r="N124" s="33">
        <v>3.49E-2</v>
      </c>
      <c r="O124" s="33">
        <v>5.0000000000000001E-3</v>
      </c>
      <c r="P124" s="33">
        <v>1.2413000000000001</v>
      </c>
      <c r="Q124" s="175">
        <f t="shared" si="22"/>
        <v>11.078500000000002</v>
      </c>
      <c r="R124" s="27"/>
    </row>
    <row r="125" spans="1:18">
      <c r="A125" s="27"/>
      <c r="B125" s="307"/>
      <c r="C125" s="192" t="s">
        <v>13</v>
      </c>
      <c r="D125" s="114">
        <v>2364.6845313268532</v>
      </c>
      <c r="E125" s="53">
        <v>570.99900000000002</v>
      </c>
      <c r="F125" s="193">
        <f t="shared" si="18"/>
        <v>2935.683531326853</v>
      </c>
      <c r="G125" s="78">
        <v>284.56099999999998</v>
      </c>
      <c r="H125" s="78">
        <v>8978.6839999999993</v>
      </c>
      <c r="I125" s="179"/>
      <c r="J125" s="193">
        <f t="shared" si="20"/>
        <v>8978.6839999999993</v>
      </c>
      <c r="K125" s="78">
        <v>238.095</v>
      </c>
      <c r="L125" s="54">
        <v>419.95400000000001</v>
      </c>
      <c r="M125" s="54">
        <f>72.097*1.08</f>
        <v>77.864760000000004</v>
      </c>
      <c r="N125" s="54">
        <v>8.4329999999999998</v>
      </c>
      <c r="O125" s="54">
        <v>23.625</v>
      </c>
      <c r="P125" s="54">
        <f>4607.108*1.08</f>
        <v>4975.6766400000006</v>
      </c>
      <c r="Q125" s="180">
        <f t="shared" si="22"/>
        <v>17942.576931326854</v>
      </c>
      <c r="R125" s="27"/>
    </row>
    <row r="126" spans="1:18">
      <c r="A126" s="27"/>
      <c r="B126" s="46" t="s">
        <v>15</v>
      </c>
      <c r="C126" s="32" t="s">
        <v>11</v>
      </c>
      <c r="D126" s="52"/>
      <c r="E126" s="52">
        <v>3.0000000000000001E-3</v>
      </c>
      <c r="F126" s="191">
        <f t="shared" si="18"/>
        <v>3.0000000000000001E-3</v>
      </c>
      <c r="G126" s="77"/>
      <c r="H126" s="77">
        <v>3.1E-2</v>
      </c>
      <c r="I126" s="174"/>
      <c r="J126" s="191">
        <f t="shared" si="20"/>
        <v>3.1E-2</v>
      </c>
      <c r="K126" s="77"/>
      <c r="L126" s="33">
        <v>0.28000000000000003</v>
      </c>
      <c r="M126" s="33"/>
      <c r="N126" s="33"/>
      <c r="O126" s="33"/>
      <c r="P126" s="33"/>
      <c r="Q126" s="175">
        <f t="shared" si="22"/>
        <v>0.31400000000000006</v>
      </c>
      <c r="R126" s="27"/>
    </row>
    <row r="127" spans="1:18">
      <c r="A127" s="27"/>
      <c r="B127" s="177" t="s">
        <v>86</v>
      </c>
      <c r="C127" s="192" t="s">
        <v>13</v>
      </c>
      <c r="D127" s="53"/>
      <c r="E127" s="53">
        <v>23.625</v>
      </c>
      <c r="F127" s="193">
        <f t="shared" si="18"/>
        <v>23.625</v>
      </c>
      <c r="G127" s="78"/>
      <c r="H127" s="78">
        <v>633.15</v>
      </c>
      <c r="I127" s="179"/>
      <c r="J127" s="193">
        <f t="shared" si="20"/>
        <v>633.15</v>
      </c>
      <c r="K127" s="78"/>
      <c r="L127" s="54">
        <v>58.8</v>
      </c>
      <c r="M127" s="54"/>
      <c r="N127" s="54"/>
      <c r="O127" s="54"/>
      <c r="P127" s="54"/>
      <c r="Q127" s="180">
        <f t="shared" si="22"/>
        <v>715.57499999999993</v>
      </c>
      <c r="R127" s="27"/>
    </row>
    <row r="128" spans="1:18">
      <c r="A128" s="27"/>
      <c r="B128" s="308" t="s">
        <v>19</v>
      </c>
      <c r="C128" s="32" t="s">
        <v>11</v>
      </c>
      <c r="D128" s="110">
        <f>D106+D108+D110+D112+D114+D116+D118+D120+D122+D124+D126</f>
        <v>9.5913000000000004</v>
      </c>
      <c r="E128" s="33">
        <f t="shared" ref="E128:E129" si="31">+E106+E108+E110+E112+E114+E116+E118+E120+E122+E124+E126</f>
        <v>6.5524999999999984</v>
      </c>
      <c r="F128" s="191">
        <f t="shared" si="18"/>
        <v>16.143799999999999</v>
      </c>
      <c r="G128" s="182">
        <f t="shared" ref="G128:H129" si="32">+G106+G108+G110+G112+G114+G116+G118+G120+G122+G124+G126</f>
        <v>21.550099999999997</v>
      </c>
      <c r="H128" s="49">
        <f t="shared" si="32"/>
        <v>629.58450000000005</v>
      </c>
      <c r="I128" s="50"/>
      <c r="J128" s="191">
        <f t="shared" si="20"/>
        <v>629.58450000000005</v>
      </c>
      <c r="K128" s="49">
        <f t="shared" ref="K128:K129" si="33">+K106+K108+K110+K112+K114+K116+K118+K120+K122+K124+K126</f>
        <v>73.997099999999989</v>
      </c>
      <c r="L128" s="33">
        <f t="shared" ref="L128:O129" si="34">+L106+L108+L110+L112+L114+L116+L118+L120+L122+L124+L126</f>
        <v>16.488000000000003</v>
      </c>
      <c r="M128" s="33">
        <f t="shared" si="34"/>
        <v>6.9612999999999996</v>
      </c>
      <c r="N128" s="33">
        <f t="shared" si="34"/>
        <v>3.8617999999999997</v>
      </c>
      <c r="O128" s="33">
        <f t="shared" si="34"/>
        <v>6.8773</v>
      </c>
      <c r="P128" s="33">
        <f t="shared" ref="P128:P129" si="35">+P106+P108+P110+P112+P114+P116+P118+P120+P122+P124+P126</f>
        <v>1.9488000000000001</v>
      </c>
      <c r="Q128" s="175">
        <f t="shared" si="22"/>
        <v>777.41270000000009</v>
      </c>
      <c r="R128" s="27"/>
    </row>
    <row r="129" spans="1:18">
      <c r="A129" s="183"/>
      <c r="B129" s="309"/>
      <c r="C129" s="192" t="s">
        <v>13</v>
      </c>
      <c r="D129" s="111">
        <f>D107+D109+D111+D113+D115+D117+D119+D121+D123+D125+D127</f>
        <v>6153.7836327089617</v>
      </c>
      <c r="E129" s="54">
        <f t="shared" si="31"/>
        <v>3451.3150000000005</v>
      </c>
      <c r="F129" s="193">
        <f t="shared" si="18"/>
        <v>9605.0986327089631</v>
      </c>
      <c r="G129" s="68">
        <f t="shared" si="32"/>
        <v>11783.143</v>
      </c>
      <c r="H129" s="68">
        <f t="shared" si="32"/>
        <v>213575.48100000003</v>
      </c>
      <c r="I129" s="63"/>
      <c r="J129" s="193">
        <f t="shared" si="20"/>
        <v>213575.48100000003</v>
      </c>
      <c r="K129" s="68">
        <f t="shared" si="33"/>
        <v>19798.618999999999</v>
      </c>
      <c r="L129" s="54">
        <f t="shared" si="34"/>
        <v>7018.3559999999989</v>
      </c>
      <c r="M129" s="54">
        <f t="shared" si="34"/>
        <v>10905.861600000002</v>
      </c>
      <c r="N129" s="54">
        <f t="shared" si="34"/>
        <v>2781.3050000000003</v>
      </c>
      <c r="O129" s="54">
        <f t="shared" si="34"/>
        <v>2909.357</v>
      </c>
      <c r="P129" s="54">
        <f t="shared" si="35"/>
        <v>5663.5329600000005</v>
      </c>
      <c r="Q129" s="180">
        <f t="shared" si="22"/>
        <v>284040.75419270899</v>
      </c>
      <c r="R129" s="27"/>
    </row>
    <row r="130" spans="1:18">
      <c r="A130" s="194" t="s">
        <v>0</v>
      </c>
      <c r="B130" s="311" t="s">
        <v>87</v>
      </c>
      <c r="C130" s="32" t="s">
        <v>11</v>
      </c>
      <c r="D130" s="52"/>
      <c r="E130" s="52"/>
      <c r="F130" s="191">
        <f t="shared" si="18"/>
        <v>0</v>
      </c>
      <c r="G130" s="77"/>
      <c r="H130" s="77"/>
      <c r="I130" s="174"/>
      <c r="J130" s="191">
        <f t="shared" si="20"/>
        <v>0</v>
      </c>
      <c r="K130" s="77"/>
      <c r="L130" s="33">
        <v>0.01</v>
      </c>
      <c r="M130" s="33"/>
      <c r="N130" s="33"/>
      <c r="O130" s="33"/>
      <c r="P130" s="33"/>
      <c r="Q130" s="175">
        <f t="shared" si="22"/>
        <v>0.01</v>
      </c>
      <c r="R130" s="27"/>
    </row>
    <row r="131" spans="1:18">
      <c r="A131" s="195" t="s">
        <v>0</v>
      </c>
      <c r="B131" s="313"/>
      <c r="C131" s="192" t="s">
        <v>13</v>
      </c>
      <c r="D131" s="53"/>
      <c r="E131" s="53"/>
      <c r="F131" s="193">
        <f t="shared" si="18"/>
        <v>0</v>
      </c>
      <c r="G131" s="78"/>
      <c r="H131" s="78"/>
      <c r="I131" s="179"/>
      <c r="J131" s="193">
        <f t="shared" si="20"/>
        <v>0</v>
      </c>
      <c r="K131" s="78"/>
      <c r="L131" s="54">
        <v>2.52</v>
      </c>
      <c r="M131" s="54"/>
      <c r="N131" s="54"/>
      <c r="O131" s="54"/>
      <c r="P131" s="54"/>
      <c r="Q131" s="180">
        <f t="shared" si="22"/>
        <v>2.52</v>
      </c>
      <c r="R131" s="27"/>
    </row>
    <row r="132" spans="1:18">
      <c r="A132" s="196" t="s">
        <v>88</v>
      </c>
      <c r="B132" s="311" t="s">
        <v>89</v>
      </c>
      <c r="C132" s="32" t="s">
        <v>11</v>
      </c>
      <c r="D132" s="52">
        <v>6.6600000000000006E-2</v>
      </c>
      <c r="E132" s="52">
        <v>0.20649999999999999</v>
      </c>
      <c r="F132" s="191">
        <f t="shared" si="18"/>
        <v>0.27310000000000001</v>
      </c>
      <c r="G132" s="77">
        <v>34.722700000000003</v>
      </c>
      <c r="H132" s="77"/>
      <c r="I132" s="174"/>
      <c r="J132" s="191">
        <f t="shared" si="20"/>
        <v>0</v>
      </c>
      <c r="K132" s="77"/>
      <c r="L132" s="33">
        <v>0.35</v>
      </c>
      <c r="M132" s="33"/>
      <c r="N132" s="33"/>
      <c r="O132" s="33"/>
      <c r="P132" s="33"/>
      <c r="Q132" s="175">
        <f t="shared" si="22"/>
        <v>35.345800000000004</v>
      </c>
      <c r="R132" s="27"/>
    </row>
    <row r="133" spans="1:18">
      <c r="A133" s="196"/>
      <c r="B133" s="313"/>
      <c r="C133" s="192" t="s">
        <v>13</v>
      </c>
      <c r="D133" s="53">
        <v>11.739002637665722</v>
      </c>
      <c r="E133" s="53">
        <v>50.029000000000003</v>
      </c>
      <c r="F133" s="193">
        <f t="shared" si="18"/>
        <v>61.768002637665724</v>
      </c>
      <c r="G133" s="78">
        <v>7964.0630000000001</v>
      </c>
      <c r="H133" s="78"/>
      <c r="I133" s="179"/>
      <c r="J133" s="193">
        <f t="shared" si="20"/>
        <v>0</v>
      </c>
      <c r="K133" s="78"/>
      <c r="L133" s="54">
        <v>48.195</v>
      </c>
      <c r="M133" s="54"/>
      <c r="N133" s="54"/>
      <c r="O133" s="54"/>
      <c r="P133" s="54"/>
      <c r="Q133" s="197">
        <f t="shared" si="22"/>
        <v>8074.0260026376654</v>
      </c>
      <c r="R133" s="27"/>
    </row>
    <row r="134" spans="1:18">
      <c r="A134" s="196" t="s">
        <v>90</v>
      </c>
      <c r="B134" s="198" t="s">
        <v>15</v>
      </c>
      <c r="C134" s="29" t="s">
        <v>11</v>
      </c>
      <c r="D134" s="115">
        <v>0.129</v>
      </c>
      <c r="E134" s="115">
        <v>0.26900000000000002</v>
      </c>
      <c r="F134" s="199">
        <f t="shared" ref="F134:F142" si="36">SUM(D134:E134)</f>
        <v>0.39800000000000002</v>
      </c>
      <c r="G134" s="139">
        <v>0.1537</v>
      </c>
      <c r="H134" s="139">
        <v>6.1622000000000003</v>
      </c>
      <c r="I134" s="200"/>
      <c r="J134" s="199">
        <f t="shared" ref="J134:J142" si="37">SUM(H134:I134)</f>
        <v>6.1622000000000003</v>
      </c>
      <c r="K134" s="139">
        <v>5.6599999999999998E-2</v>
      </c>
      <c r="L134" s="93">
        <v>3.5764999999999998</v>
      </c>
      <c r="M134" s="93"/>
      <c r="N134" s="93"/>
      <c r="O134" s="93"/>
      <c r="P134" s="93"/>
      <c r="Q134" s="175">
        <f t="shared" si="22"/>
        <v>10.347000000000001</v>
      </c>
      <c r="R134" s="27"/>
    </row>
    <row r="135" spans="1:18">
      <c r="A135" s="196"/>
      <c r="B135" s="198" t="s">
        <v>91</v>
      </c>
      <c r="C135" s="32" t="s">
        <v>92</v>
      </c>
      <c r="D135" s="52"/>
      <c r="E135" s="52"/>
      <c r="F135" s="201">
        <f t="shared" si="36"/>
        <v>0</v>
      </c>
      <c r="G135" s="77"/>
      <c r="H135" s="77"/>
      <c r="I135" s="174"/>
      <c r="J135" s="201">
        <f t="shared" si="37"/>
        <v>0</v>
      </c>
      <c r="K135" s="77"/>
      <c r="L135" s="95"/>
      <c r="M135" s="161"/>
      <c r="N135" s="161"/>
      <c r="O135" s="33"/>
      <c r="P135" s="161"/>
      <c r="Q135" s="175">
        <f t="shared" si="22"/>
        <v>0</v>
      </c>
      <c r="R135" s="27"/>
    </row>
    <row r="136" spans="1:18">
      <c r="A136" s="196" t="s">
        <v>18</v>
      </c>
      <c r="B136" s="68"/>
      <c r="C136" s="192" t="s">
        <v>13</v>
      </c>
      <c r="D136" s="53">
        <v>80.325018048428248</v>
      </c>
      <c r="E136" s="53">
        <v>133.31700000000001</v>
      </c>
      <c r="F136" s="202">
        <f t="shared" si="36"/>
        <v>213.64201804842827</v>
      </c>
      <c r="G136" s="78">
        <v>301.84399999999999</v>
      </c>
      <c r="H136" s="103">
        <v>2905.0569999999998</v>
      </c>
      <c r="I136" s="179"/>
      <c r="J136" s="202">
        <f t="shared" si="37"/>
        <v>2905.0569999999998</v>
      </c>
      <c r="K136" s="103">
        <v>68.135000000000005</v>
      </c>
      <c r="L136" s="54">
        <v>1263.921</v>
      </c>
      <c r="M136" s="92"/>
      <c r="N136" s="54"/>
      <c r="O136" s="54"/>
      <c r="P136" s="54"/>
      <c r="Q136" s="197">
        <f t="shared" si="22"/>
        <v>4752.5990180484287</v>
      </c>
      <c r="R136" s="27"/>
    </row>
    <row r="137" spans="1:18">
      <c r="A137" s="75"/>
      <c r="B137" s="203" t="s">
        <v>0</v>
      </c>
      <c r="C137" s="29" t="s">
        <v>11</v>
      </c>
      <c r="D137" s="30">
        <f>+D130+D132+D134</f>
        <v>0.1956</v>
      </c>
      <c r="E137" s="33">
        <f>+E130+E132+E134</f>
        <v>0.47550000000000003</v>
      </c>
      <c r="F137" s="199">
        <f t="shared" si="36"/>
        <v>0.67110000000000003</v>
      </c>
      <c r="G137" s="182">
        <f t="shared" ref="G137" si="38">G130+G132+G134</f>
        <v>34.876400000000004</v>
      </c>
      <c r="H137" s="49">
        <f>H130+H132+H134</f>
        <v>6.1622000000000003</v>
      </c>
      <c r="I137" s="47"/>
      <c r="J137" s="199">
        <f t="shared" si="37"/>
        <v>6.1622000000000003</v>
      </c>
      <c r="K137" s="49">
        <f>+K130+K132+K134</f>
        <v>5.6599999999999998E-2</v>
      </c>
      <c r="L137" s="33">
        <f>+L130+L132+L134</f>
        <v>3.9364999999999997</v>
      </c>
      <c r="M137" s="33"/>
      <c r="N137" s="160"/>
      <c r="O137" s="93"/>
      <c r="P137" s="93"/>
      <c r="Q137" s="175">
        <f t="shared" si="22"/>
        <v>45.702800000000011</v>
      </c>
      <c r="R137" s="27"/>
    </row>
    <row r="138" spans="1:18">
      <c r="A138" s="75"/>
      <c r="B138" s="204" t="s">
        <v>19</v>
      </c>
      <c r="C138" s="32" t="s">
        <v>92</v>
      </c>
      <c r="D138" s="98"/>
      <c r="E138" s="33"/>
      <c r="F138" s="201">
        <f t="shared" si="36"/>
        <v>0</v>
      </c>
      <c r="G138" s="98"/>
      <c r="H138" s="49"/>
      <c r="I138" s="50"/>
      <c r="J138" s="201">
        <f t="shared" si="37"/>
        <v>0</v>
      </c>
      <c r="K138" s="49"/>
      <c r="L138" s="33"/>
      <c r="M138" s="33"/>
      <c r="N138" s="69"/>
      <c r="O138" s="33"/>
      <c r="P138" s="33"/>
      <c r="Q138" s="175">
        <f t="shared" si="22"/>
        <v>0</v>
      </c>
      <c r="R138" s="27"/>
    </row>
    <row r="139" spans="1:18">
      <c r="A139" s="205"/>
      <c r="B139" s="63"/>
      <c r="C139" s="192" t="s">
        <v>13</v>
      </c>
      <c r="D139" s="54">
        <f>+D131+D133+D136</f>
        <v>92.064020686093968</v>
      </c>
      <c r="E139" s="54">
        <f>+E131+E133+E136</f>
        <v>183.346</v>
      </c>
      <c r="F139" s="202">
        <f t="shared" si="36"/>
        <v>275.41002068609396</v>
      </c>
      <c r="G139" s="68">
        <f t="shared" ref="G139" si="39">G131+G133+G136</f>
        <v>8265.9069999999992</v>
      </c>
      <c r="H139" s="68">
        <f>H131+H133+H136</f>
        <v>2905.0569999999998</v>
      </c>
      <c r="I139" s="63"/>
      <c r="J139" s="202">
        <f t="shared" si="37"/>
        <v>2905.0569999999998</v>
      </c>
      <c r="K139" s="68">
        <f>+K131+K133+K136</f>
        <v>68.135000000000005</v>
      </c>
      <c r="L139" s="54">
        <f>+L131+L133+L136</f>
        <v>1314.636</v>
      </c>
      <c r="M139" s="54"/>
      <c r="N139" s="70"/>
      <c r="O139" s="54"/>
      <c r="P139" s="54"/>
      <c r="Q139" s="197">
        <f t="shared" si="22"/>
        <v>12829.145020686094</v>
      </c>
      <c r="R139" s="27"/>
    </row>
    <row r="140" spans="1:18">
      <c r="A140" s="75"/>
      <c r="B140" s="28" t="s">
        <v>0</v>
      </c>
      <c r="C140" s="29" t="s">
        <v>11</v>
      </c>
      <c r="D140" s="116">
        <f>D137+D128+D104</f>
        <v>185.26285000000001</v>
      </c>
      <c r="E140" s="127">
        <f>E137+E128+E104</f>
        <v>1228.08986</v>
      </c>
      <c r="F140" s="199">
        <f t="shared" si="36"/>
        <v>1413.3527100000001</v>
      </c>
      <c r="G140" s="147">
        <f t="shared" ref="G140" si="40">G137+G128+G104</f>
        <v>2958.427799999999</v>
      </c>
      <c r="H140" s="152">
        <f>H137+H128+H104</f>
        <v>8804.3770999999997</v>
      </c>
      <c r="I140" s="57"/>
      <c r="J140" s="199">
        <f t="shared" si="37"/>
        <v>8804.3770999999997</v>
      </c>
      <c r="K140" s="155">
        <f t="shared" ref="K140" si="41">K137+K128+K104</f>
        <v>2221.9846000000002</v>
      </c>
      <c r="L140" s="93">
        <f>L137+L128+L104</f>
        <v>468.37674999999996</v>
      </c>
      <c r="M140" s="33">
        <f>M137+M128+M104</f>
        <v>7.1913</v>
      </c>
      <c r="N140" s="97">
        <f>N104+N128+N137</f>
        <v>30.8567</v>
      </c>
      <c r="O140" s="93">
        <f t="shared" ref="O140:P140" si="42">O137+O128+O104</f>
        <v>13.299900000000001</v>
      </c>
      <c r="P140" s="93">
        <f t="shared" si="42"/>
        <v>38.642899999999997</v>
      </c>
      <c r="Q140" s="175">
        <f t="shared" si="22"/>
        <v>15956.509759999999</v>
      </c>
      <c r="R140" s="27"/>
    </row>
    <row r="141" spans="1:18">
      <c r="A141" s="75"/>
      <c r="B141" s="31" t="s">
        <v>93</v>
      </c>
      <c r="C141" s="32" t="s">
        <v>92</v>
      </c>
      <c r="D141" s="117"/>
      <c r="E141" s="110"/>
      <c r="F141" s="201">
        <f t="shared" si="36"/>
        <v>0</v>
      </c>
      <c r="G141" s="148"/>
      <c r="H141" s="144"/>
      <c r="I141" s="206"/>
      <c r="J141" s="201">
        <f t="shared" si="37"/>
        <v>0</v>
      </c>
      <c r="K141" s="148"/>
      <c r="L141" s="33"/>
      <c r="M141" s="33"/>
      <c r="N141" s="69"/>
      <c r="O141" s="33"/>
      <c r="P141" s="33"/>
      <c r="Q141" s="175">
        <f t="shared" ref="Q141:Q142" si="43">SUM(F141:G141,J141:P141)</f>
        <v>0</v>
      </c>
      <c r="R141" s="27"/>
    </row>
    <row r="142" spans="1:18" ht="19.5" thickBot="1">
      <c r="A142" s="76"/>
      <c r="B142" s="35"/>
      <c r="C142" s="36" t="s">
        <v>13</v>
      </c>
      <c r="D142" s="118">
        <f>D139+D129+D105</f>
        <v>128842.75800000003</v>
      </c>
      <c r="E142" s="118">
        <f>E139+E129+E105</f>
        <v>536649.34600000002</v>
      </c>
      <c r="F142" s="207">
        <f t="shared" si="36"/>
        <v>665492.10400000005</v>
      </c>
      <c r="G142" s="136">
        <f t="shared" ref="G142" si="44">G139+G129+G105</f>
        <v>619881.12399999984</v>
      </c>
      <c r="H142" s="154">
        <f>H139+H129+H105</f>
        <v>1232055.6129999999</v>
      </c>
      <c r="I142" s="58"/>
      <c r="J142" s="207">
        <f t="shared" si="37"/>
        <v>1232055.6129999999</v>
      </c>
      <c r="K142" s="149">
        <f t="shared" ref="K142" si="45">K139+K129+K105</f>
        <v>251397.25899999996</v>
      </c>
      <c r="L142" s="37">
        <f>L139+L129+L105</f>
        <v>92783.712999999974</v>
      </c>
      <c r="M142" s="37">
        <f>M139+M129+M105</f>
        <v>10965.247560000002</v>
      </c>
      <c r="N142" s="71">
        <f>N105+N129+N139</f>
        <v>15363.725999999999</v>
      </c>
      <c r="O142" s="37">
        <f t="shared" ref="O142:P142" si="46">O139+O129+O105</f>
        <v>6753.3819999999996</v>
      </c>
      <c r="P142" s="37">
        <f t="shared" si="46"/>
        <v>15280.749360000002</v>
      </c>
      <c r="Q142" s="187">
        <f t="shared" si="43"/>
        <v>2909972.9179199999</v>
      </c>
      <c r="R142" s="27"/>
    </row>
    <row r="143" spans="1:18">
      <c r="Q143" s="208" t="s">
        <v>94</v>
      </c>
    </row>
    <row r="145" spans="7:7">
      <c r="G145" s="112"/>
    </row>
    <row r="146" spans="7:7">
      <c r="G146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104</v>
      </c>
      <c r="C3" s="35"/>
      <c r="F3" s="35"/>
      <c r="I3" s="35"/>
      <c r="J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0</v>
      </c>
      <c r="H5" s="77">
        <v>1.5127999999999999</v>
      </c>
      <c r="I5" s="174"/>
      <c r="J5" s="173">
        <f>SUM(H5:I5)</f>
        <v>1.5127999999999999</v>
      </c>
      <c r="K5" s="77">
        <v>117.8254</v>
      </c>
      <c r="L5" s="33">
        <v>5.0000000000000001E-3</v>
      </c>
      <c r="M5" s="33"/>
      <c r="N5" s="33"/>
      <c r="O5" s="33"/>
      <c r="P5" s="33"/>
      <c r="Q5" s="175">
        <f>SUM(F5:G5,J5:P5)</f>
        <v>119.3432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4.58</v>
      </c>
      <c r="H6" s="78">
        <v>159.779</v>
      </c>
      <c r="I6" s="179"/>
      <c r="J6" s="178">
        <f>SUM(H6:I6)</f>
        <v>159.779</v>
      </c>
      <c r="K6" s="78">
        <v>7129.4369999999999</v>
      </c>
      <c r="L6" s="54">
        <v>10.395</v>
      </c>
      <c r="M6" s="54"/>
      <c r="N6" s="54"/>
      <c r="O6" s="54"/>
      <c r="P6" s="54"/>
      <c r="Q6" s="180">
        <f>SUM(F6:G6,J6:P6)</f>
        <v>7304.1910000000007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0.105</v>
      </c>
      <c r="F7" s="181">
        <f t="shared" ref="F7:F68" si="0">SUM(D7:E7)</f>
        <v>0.105</v>
      </c>
      <c r="G7" s="77"/>
      <c r="H7" s="77">
        <v>48.206000000000003</v>
      </c>
      <c r="I7" s="174"/>
      <c r="J7" s="181">
        <f t="shared" ref="J7:J68" si="1">SUM(H7:I7)</f>
        <v>48.206000000000003</v>
      </c>
      <c r="K7" s="77">
        <v>121.7705</v>
      </c>
      <c r="L7" s="33"/>
      <c r="M7" s="33"/>
      <c r="N7" s="33"/>
      <c r="O7" s="33"/>
      <c r="P7" s="33"/>
      <c r="Q7" s="175">
        <f t="shared" ref="Q7:Q68" si="2">SUM(F7:G7,J7:P7)</f>
        <v>170.08150000000001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55.02</v>
      </c>
      <c r="F8" s="178">
        <f t="shared" si="0"/>
        <v>55.02</v>
      </c>
      <c r="G8" s="78"/>
      <c r="H8" s="78">
        <v>2614.9349999999999</v>
      </c>
      <c r="I8" s="179"/>
      <c r="J8" s="178">
        <f t="shared" si="1"/>
        <v>2614.9349999999999</v>
      </c>
      <c r="K8" s="78">
        <v>6480.7120000000004</v>
      </c>
      <c r="L8" s="54"/>
      <c r="M8" s="54"/>
      <c r="N8" s="54"/>
      <c r="O8" s="54"/>
      <c r="P8" s="54"/>
      <c r="Q8" s="180">
        <f t="shared" si="2"/>
        <v>9150.6670000000013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/>
      <c r="E9" s="33">
        <f t="shared" ref="E9:E10" si="3">+E5+E7</f>
        <v>0.105</v>
      </c>
      <c r="F9" s="181">
        <f>SUM(D9:E9)</f>
        <v>0.105</v>
      </c>
      <c r="G9" s="49">
        <f>+G5+G7</f>
        <v>0</v>
      </c>
      <c r="H9" s="49">
        <f t="shared" ref="H9:H10" si="4">+H5+H7</f>
        <v>49.718800000000002</v>
      </c>
      <c r="I9" s="50"/>
      <c r="J9" s="181">
        <f>SUM(H9:I9)</f>
        <v>49.718800000000002</v>
      </c>
      <c r="K9" s="49">
        <f t="shared" ref="K9:L10" si="5">+K5+K7</f>
        <v>239.5959</v>
      </c>
      <c r="L9" s="33">
        <f t="shared" si="5"/>
        <v>5.0000000000000001E-3</v>
      </c>
      <c r="M9" s="33"/>
      <c r="N9" s="33"/>
      <c r="O9" s="33"/>
      <c r="P9" s="33"/>
      <c r="Q9" s="175">
        <f t="shared" si="2"/>
        <v>289.42469999999997</v>
      </c>
      <c r="R9" s="47"/>
    </row>
    <row r="10" spans="1:18">
      <c r="A10" s="183"/>
      <c r="B10" s="309"/>
      <c r="C10" s="177" t="s">
        <v>13</v>
      </c>
      <c r="D10" s="109"/>
      <c r="E10" s="54">
        <f t="shared" si="3"/>
        <v>55.02</v>
      </c>
      <c r="F10" s="178">
        <f t="shared" si="0"/>
        <v>55.02</v>
      </c>
      <c r="G10" s="68">
        <f>+G6+G8</f>
        <v>4.58</v>
      </c>
      <c r="H10" s="68">
        <f t="shared" si="4"/>
        <v>2774.7139999999999</v>
      </c>
      <c r="I10" s="63"/>
      <c r="J10" s="178">
        <f t="shared" si="1"/>
        <v>2774.7139999999999</v>
      </c>
      <c r="K10" s="68">
        <f t="shared" si="5"/>
        <v>13610.149000000001</v>
      </c>
      <c r="L10" s="54">
        <f t="shared" si="5"/>
        <v>10.395</v>
      </c>
      <c r="M10" s="54"/>
      <c r="N10" s="54"/>
      <c r="O10" s="54"/>
      <c r="P10" s="54"/>
      <c r="Q10" s="180">
        <f t="shared" si="2"/>
        <v>16454.858</v>
      </c>
      <c r="R10" s="47"/>
    </row>
    <row r="11" spans="1:18">
      <c r="A11" s="310" t="s">
        <v>20</v>
      </c>
      <c r="B11" s="311"/>
      <c r="C11" s="48" t="s">
        <v>11</v>
      </c>
      <c r="D11" s="52">
        <v>0.16059999999999999</v>
      </c>
      <c r="E11" s="52">
        <v>0.35399999999999998</v>
      </c>
      <c r="F11" s="181">
        <f t="shared" si="0"/>
        <v>0.51459999999999995</v>
      </c>
      <c r="G11" s="77">
        <v>0.25059999999999999</v>
      </c>
      <c r="H11" s="77"/>
      <c r="I11" s="174"/>
      <c r="J11" s="181">
        <f t="shared" si="1"/>
        <v>0</v>
      </c>
      <c r="K11" s="77"/>
      <c r="L11" s="33"/>
      <c r="M11" s="33"/>
      <c r="N11" s="33"/>
      <c r="O11" s="33"/>
      <c r="P11" s="33"/>
      <c r="Q11" s="175">
        <f t="shared" si="2"/>
        <v>0.76519999999999988</v>
      </c>
      <c r="R11" s="47"/>
    </row>
    <row r="12" spans="1:18">
      <c r="A12" s="312"/>
      <c r="B12" s="313"/>
      <c r="C12" s="177" t="s">
        <v>13</v>
      </c>
      <c r="D12" s="53">
        <v>58.086023972691784</v>
      </c>
      <c r="E12" s="53">
        <v>12.769</v>
      </c>
      <c r="F12" s="178">
        <f t="shared" si="0"/>
        <v>70.855023972691782</v>
      </c>
      <c r="G12" s="78">
        <v>86.198999999999998</v>
      </c>
      <c r="H12" s="78"/>
      <c r="I12" s="179"/>
      <c r="J12" s="178">
        <f t="shared" si="1"/>
        <v>0</v>
      </c>
      <c r="K12" s="103"/>
      <c r="L12" s="54"/>
      <c r="M12" s="54"/>
      <c r="N12" s="54"/>
      <c r="O12" s="54"/>
      <c r="P12" s="54"/>
      <c r="Q12" s="180">
        <f t="shared" si="2"/>
        <v>157.05402397269177</v>
      </c>
      <c r="R12" s="47"/>
    </row>
    <row r="13" spans="1:18">
      <c r="A13" s="27"/>
      <c r="B13" s="306" t="s">
        <v>21</v>
      </c>
      <c r="C13" s="48" t="s">
        <v>11</v>
      </c>
      <c r="D13" s="52">
        <v>3.6002000000000001</v>
      </c>
      <c r="E13" s="52">
        <v>3.9786000000000001</v>
      </c>
      <c r="F13" s="181">
        <f t="shared" si="0"/>
        <v>7.5788000000000002</v>
      </c>
      <c r="G13" s="77">
        <v>0.1704</v>
      </c>
      <c r="H13" s="77"/>
      <c r="I13" s="174"/>
      <c r="J13" s="181">
        <f t="shared" si="1"/>
        <v>0</v>
      </c>
      <c r="K13" s="77"/>
      <c r="L13" s="33">
        <v>0.11360000000000001</v>
      </c>
      <c r="M13" s="33"/>
      <c r="N13" s="33"/>
      <c r="O13" s="33"/>
      <c r="P13" s="33"/>
      <c r="Q13" s="175">
        <f t="shared" si="2"/>
        <v>7.8628</v>
      </c>
      <c r="R13" s="47"/>
    </row>
    <row r="14" spans="1:18">
      <c r="A14" s="172" t="s">
        <v>0</v>
      </c>
      <c r="B14" s="307"/>
      <c r="C14" s="177" t="s">
        <v>13</v>
      </c>
      <c r="D14" s="53">
        <v>8856.3336550988097</v>
      </c>
      <c r="E14" s="53">
        <v>14414.958000000001</v>
      </c>
      <c r="F14" s="178">
        <f t="shared" si="0"/>
        <v>23271.291655098808</v>
      </c>
      <c r="G14" s="78">
        <v>772.12199999999996</v>
      </c>
      <c r="H14" s="78"/>
      <c r="I14" s="179"/>
      <c r="J14" s="178">
        <f t="shared" si="1"/>
        <v>0</v>
      </c>
      <c r="K14" s="78"/>
      <c r="L14" s="54">
        <v>347.84500000000003</v>
      </c>
      <c r="M14" s="54"/>
      <c r="N14" s="54"/>
      <c r="O14" s="54"/>
      <c r="P14" s="54"/>
      <c r="Q14" s="180">
        <f t="shared" si="2"/>
        <v>24391.258655098809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6.4248000000000003</v>
      </c>
      <c r="E15" s="52"/>
      <c r="F15" s="181">
        <f t="shared" si="0"/>
        <v>6.4248000000000003</v>
      </c>
      <c r="G15" s="77">
        <v>0.21479999999999999</v>
      </c>
      <c r="H15" s="77"/>
      <c r="I15" s="174"/>
      <c r="J15" s="181">
        <f t="shared" si="1"/>
        <v>0</v>
      </c>
      <c r="K15" s="77"/>
      <c r="L15" s="33"/>
      <c r="M15" s="33"/>
      <c r="N15" s="33"/>
      <c r="O15" s="33"/>
      <c r="P15" s="33"/>
      <c r="Q15" s="175">
        <f t="shared" si="2"/>
        <v>6.6396000000000006</v>
      </c>
      <c r="R15" s="47"/>
    </row>
    <row r="16" spans="1:18">
      <c r="A16" s="176" t="s">
        <v>0</v>
      </c>
      <c r="B16" s="307"/>
      <c r="C16" s="177" t="s">
        <v>13</v>
      </c>
      <c r="D16" s="53">
        <v>2355.0228719418478</v>
      </c>
      <c r="E16" s="53"/>
      <c r="F16" s="178">
        <f t="shared" si="0"/>
        <v>2355.0228719418478</v>
      </c>
      <c r="G16" s="78">
        <v>340.78100000000001</v>
      </c>
      <c r="H16" s="78"/>
      <c r="I16" s="179"/>
      <c r="J16" s="178">
        <f t="shared" si="1"/>
        <v>0</v>
      </c>
      <c r="K16" s="78"/>
      <c r="L16" s="54"/>
      <c r="M16" s="54"/>
      <c r="N16" s="54"/>
      <c r="O16" s="54"/>
      <c r="P16" s="54"/>
      <c r="Q16" s="180">
        <f t="shared" si="2"/>
        <v>2695.8038719418478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18.5106</v>
      </c>
      <c r="E17" s="52">
        <v>33.906199999999998</v>
      </c>
      <c r="F17" s="181">
        <f t="shared" si="0"/>
        <v>52.416799999999995</v>
      </c>
      <c r="G17" s="77">
        <v>26.802600000000002</v>
      </c>
      <c r="H17" s="77"/>
      <c r="I17" s="174"/>
      <c r="J17" s="181">
        <f t="shared" si="1"/>
        <v>0</v>
      </c>
      <c r="K17" s="77"/>
      <c r="L17" s="33">
        <v>0.22075</v>
      </c>
      <c r="M17" s="33"/>
      <c r="N17" s="33"/>
      <c r="O17" s="33"/>
      <c r="P17" s="33"/>
      <c r="Q17" s="175">
        <f t="shared" si="2"/>
        <v>79.440149999999988</v>
      </c>
      <c r="R17" s="47"/>
    </row>
    <row r="18" spans="1:18">
      <c r="A18" s="176"/>
      <c r="B18" s="307"/>
      <c r="C18" s="177" t="s">
        <v>13</v>
      </c>
      <c r="D18" s="53">
        <v>23885.66605785687</v>
      </c>
      <c r="E18" s="53">
        <v>33687.027000000002</v>
      </c>
      <c r="F18" s="178">
        <f t="shared" si="0"/>
        <v>57572.693057856872</v>
      </c>
      <c r="G18" s="78">
        <v>34790.786</v>
      </c>
      <c r="H18" s="78"/>
      <c r="I18" s="179"/>
      <c r="J18" s="178">
        <f t="shared" si="1"/>
        <v>0</v>
      </c>
      <c r="K18" s="78"/>
      <c r="L18" s="54">
        <v>318.73399999999998</v>
      </c>
      <c r="M18" s="54"/>
      <c r="N18" s="54"/>
      <c r="O18" s="54"/>
      <c r="P18" s="54"/>
      <c r="Q18" s="180">
        <f t="shared" si="2"/>
        <v>92682.213057856861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5.8582000000000001</v>
      </c>
      <c r="E19" s="52">
        <v>36.207799999999999</v>
      </c>
      <c r="F19" s="181">
        <f t="shared" si="0"/>
        <v>42.066000000000003</v>
      </c>
      <c r="G19" s="77">
        <v>0.4178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42.483800000000002</v>
      </c>
      <c r="R19" s="47"/>
    </row>
    <row r="20" spans="1:18">
      <c r="A20" s="176"/>
      <c r="B20" s="177" t="s">
        <v>28</v>
      </c>
      <c r="C20" s="177" t="s">
        <v>13</v>
      </c>
      <c r="D20" s="53">
        <v>5425.5433391768156</v>
      </c>
      <c r="E20" s="53">
        <v>26133.195</v>
      </c>
      <c r="F20" s="178">
        <f t="shared" si="0"/>
        <v>31558.738339176816</v>
      </c>
      <c r="G20" s="78">
        <v>511.28800000000001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32070.026339176817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17.676200000000001</v>
      </c>
      <c r="E21" s="52">
        <v>154.13720000000001</v>
      </c>
      <c r="F21" s="181">
        <f t="shared" si="0"/>
        <v>171.8134</v>
      </c>
      <c r="G21" s="77">
        <v>24.2898</v>
      </c>
      <c r="H21" s="77"/>
      <c r="I21" s="174"/>
      <c r="J21" s="181">
        <f t="shared" si="1"/>
        <v>0</v>
      </c>
      <c r="K21" s="77"/>
      <c r="L21" s="33">
        <v>1.125E-2</v>
      </c>
      <c r="M21" s="33"/>
      <c r="N21" s="33"/>
      <c r="O21" s="33"/>
      <c r="P21" s="33"/>
      <c r="Q21" s="175">
        <f t="shared" si="2"/>
        <v>196.11445000000001</v>
      </c>
      <c r="R21" s="47"/>
    </row>
    <row r="22" spans="1:18">
      <c r="A22" s="27"/>
      <c r="B22" s="307"/>
      <c r="C22" s="177" t="s">
        <v>13</v>
      </c>
      <c r="D22" s="53">
        <v>10029.423539244914</v>
      </c>
      <c r="E22" s="53">
        <v>90704.497000000003</v>
      </c>
      <c r="F22" s="178">
        <f t="shared" si="0"/>
        <v>100733.92053924492</v>
      </c>
      <c r="G22" s="78">
        <v>10542.325999999999</v>
      </c>
      <c r="H22" s="78"/>
      <c r="I22" s="179"/>
      <c r="J22" s="178">
        <f t="shared" si="1"/>
        <v>0</v>
      </c>
      <c r="K22" s="78"/>
      <c r="L22" s="54">
        <v>10.041</v>
      </c>
      <c r="M22" s="54"/>
      <c r="N22" s="54"/>
      <c r="O22" s="54"/>
      <c r="P22" s="54"/>
      <c r="Q22" s="180">
        <f t="shared" si="2"/>
        <v>111286.28753924492</v>
      </c>
      <c r="R22" s="47"/>
    </row>
    <row r="23" spans="1:18">
      <c r="A23" s="27"/>
      <c r="B23" s="308" t="s">
        <v>19</v>
      </c>
      <c r="C23" s="48" t="s">
        <v>11</v>
      </c>
      <c r="D23" s="110">
        <f t="shared" ref="D23:D24" si="6">D13+D15+D17+D19+D21</f>
        <v>52.07</v>
      </c>
      <c r="E23" s="33">
        <f t="shared" ref="E23:E24" si="7">+E13+E15+E17+E19+E21</f>
        <v>228.22980000000001</v>
      </c>
      <c r="F23" s="181">
        <f t="shared" si="0"/>
        <v>280.2998</v>
      </c>
      <c r="G23" s="49">
        <f t="shared" ref="G23:G24" si="8">+G13+G15+G17+G19+G21</f>
        <v>51.895400000000002</v>
      </c>
      <c r="H23" s="49"/>
      <c r="I23" s="50"/>
      <c r="J23" s="181">
        <f t="shared" si="1"/>
        <v>0</v>
      </c>
      <c r="K23" s="49"/>
      <c r="L23" s="33">
        <f t="shared" ref="L23:L24" si="9">+L13+L15+L17+L19+L21</f>
        <v>0.34560000000000002</v>
      </c>
      <c r="M23" s="33"/>
      <c r="N23" s="33"/>
      <c r="O23" s="33"/>
      <c r="P23" s="33"/>
      <c r="Q23" s="175">
        <f t="shared" si="2"/>
        <v>332.54079999999999</v>
      </c>
      <c r="R23" s="47"/>
    </row>
    <row r="24" spans="1:18">
      <c r="A24" s="183"/>
      <c r="B24" s="309"/>
      <c r="C24" s="177" t="s">
        <v>13</v>
      </c>
      <c r="D24" s="111">
        <f t="shared" si="6"/>
        <v>50551.989463319253</v>
      </c>
      <c r="E24" s="54">
        <f t="shared" si="7"/>
        <v>164939.677</v>
      </c>
      <c r="F24" s="178">
        <f t="shared" si="0"/>
        <v>215491.66646331924</v>
      </c>
      <c r="G24" s="68">
        <f t="shared" si="8"/>
        <v>46957.303</v>
      </c>
      <c r="H24" s="68"/>
      <c r="I24" s="63"/>
      <c r="J24" s="178">
        <f t="shared" si="1"/>
        <v>0</v>
      </c>
      <c r="K24" s="68"/>
      <c r="L24" s="54">
        <f t="shared" si="9"/>
        <v>676.62</v>
      </c>
      <c r="M24" s="54"/>
      <c r="N24" s="54"/>
      <c r="O24" s="54"/>
      <c r="P24" s="54"/>
      <c r="Q24" s="180">
        <f t="shared" si="2"/>
        <v>263125.58946331922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0.46</v>
      </c>
      <c r="E25" s="52">
        <v>1.1040000000000001</v>
      </c>
      <c r="F25" s="181">
        <f t="shared" si="0"/>
        <v>1.5640000000000001</v>
      </c>
      <c r="G25" s="77">
        <v>221.94380000000001</v>
      </c>
      <c r="H25" s="77"/>
      <c r="I25" s="174"/>
      <c r="J25" s="181">
        <f t="shared" si="1"/>
        <v>0</v>
      </c>
      <c r="K25" s="77"/>
      <c r="L25" s="33">
        <v>7.1999999999999998E-3</v>
      </c>
      <c r="M25" s="33"/>
      <c r="N25" s="33"/>
      <c r="O25" s="33"/>
      <c r="P25" s="33"/>
      <c r="Q25" s="175">
        <f t="shared" si="2"/>
        <v>223.51500000000001</v>
      </c>
      <c r="R25" s="47"/>
    </row>
    <row r="26" spans="1:18">
      <c r="A26" s="176" t="s">
        <v>31</v>
      </c>
      <c r="B26" s="307"/>
      <c r="C26" s="177" t="s">
        <v>13</v>
      </c>
      <c r="D26" s="53">
        <v>542.1152237364563</v>
      </c>
      <c r="E26" s="53">
        <v>820.05100000000004</v>
      </c>
      <c r="F26" s="178">
        <f t="shared" si="0"/>
        <v>1362.1662237364562</v>
      </c>
      <c r="G26" s="78">
        <v>220622.41099999999</v>
      </c>
      <c r="H26" s="78"/>
      <c r="I26" s="179"/>
      <c r="J26" s="178">
        <f t="shared" si="1"/>
        <v>0</v>
      </c>
      <c r="K26" s="78"/>
      <c r="L26" s="54">
        <v>15.456</v>
      </c>
      <c r="M26" s="54"/>
      <c r="N26" s="54"/>
      <c r="O26" s="54"/>
      <c r="P26" s="54"/>
      <c r="Q26" s="180">
        <f t="shared" si="2"/>
        <v>222000.03322373645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2.4550000000000001</v>
      </c>
      <c r="E27" s="52">
        <v>7.782</v>
      </c>
      <c r="F27" s="181">
        <f t="shared" si="0"/>
        <v>10.237</v>
      </c>
      <c r="G27" s="77">
        <v>0.68520000000000003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10.9222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720.84629750058502</v>
      </c>
      <c r="E28" s="53">
        <v>2376.8200000000002</v>
      </c>
      <c r="F28" s="178">
        <f t="shared" si="0"/>
        <v>3097.6662975005852</v>
      </c>
      <c r="G28" s="78">
        <v>716.59400000000005</v>
      </c>
      <c r="H28" s="78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3814.2602975005852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f>D25+D27</f>
        <v>2.915</v>
      </c>
      <c r="E29" s="33">
        <f t="shared" ref="E29:E30" si="10">+E25+E27</f>
        <v>8.8859999999999992</v>
      </c>
      <c r="F29" s="181">
        <f t="shared" si="0"/>
        <v>11.800999999999998</v>
      </c>
      <c r="G29" s="49">
        <f t="shared" ref="G29:G30" si="11">+G25+G27</f>
        <v>222.62900000000002</v>
      </c>
      <c r="H29" s="49"/>
      <c r="I29" s="50"/>
      <c r="J29" s="181">
        <f t="shared" si="1"/>
        <v>0</v>
      </c>
      <c r="K29" s="49"/>
      <c r="L29" s="33">
        <f t="shared" ref="L29:L30" si="12">+L25+L27</f>
        <v>7.1999999999999998E-3</v>
      </c>
      <c r="M29" s="55"/>
      <c r="N29" s="33"/>
      <c r="O29" s="33"/>
      <c r="P29" s="33"/>
      <c r="Q29" s="175">
        <f t="shared" si="2"/>
        <v>234.43720000000002</v>
      </c>
      <c r="R29" s="47"/>
    </row>
    <row r="30" spans="1:18">
      <c r="A30" s="183"/>
      <c r="B30" s="309"/>
      <c r="C30" s="177" t="s">
        <v>13</v>
      </c>
      <c r="D30" s="111">
        <f>D26+D28</f>
        <v>1262.9615212370413</v>
      </c>
      <c r="E30" s="54">
        <f t="shared" si="10"/>
        <v>3196.8710000000001</v>
      </c>
      <c r="F30" s="178">
        <f t="shared" si="0"/>
        <v>4459.8325212370419</v>
      </c>
      <c r="G30" s="68">
        <f t="shared" si="11"/>
        <v>221339.005</v>
      </c>
      <c r="H30" s="68"/>
      <c r="I30" s="63"/>
      <c r="J30" s="178">
        <f t="shared" si="1"/>
        <v>0</v>
      </c>
      <c r="K30" s="68"/>
      <c r="L30" s="54">
        <f t="shared" si="12"/>
        <v>15.456</v>
      </c>
      <c r="M30" s="68"/>
      <c r="N30" s="54"/>
      <c r="O30" s="54"/>
      <c r="P30" s="54"/>
      <c r="Q30" s="180">
        <f t="shared" si="2"/>
        <v>225814.29352123706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4.9356999999999998</v>
      </c>
      <c r="E31" s="52">
        <v>3.6364999999999998</v>
      </c>
      <c r="F31" s="181">
        <f t="shared" si="0"/>
        <v>8.5721999999999987</v>
      </c>
      <c r="G31" s="77">
        <v>15.123799999999999</v>
      </c>
      <c r="H31" s="77">
        <v>295.46179999999998</v>
      </c>
      <c r="I31" s="174"/>
      <c r="J31" s="181">
        <f t="shared" si="1"/>
        <v>295.46179999999998</v>
      </c>
      <c r="K31" s="77">
        <v>123.83620000000001</v>
      </c>
      <c r="L31" s="33">
        <v>55.698399999999999</v>
      </c>
      <c r="M31" s="33">
        <v>5.0000000000000001E-3</v>
      </c>
      <c r="N31" s="33">
        <v>4.5594000000000001</v>
      </c>
      <c r="O31" s="33">
        <v>0.2702</v>
      </c>
      <c r="P31" s="33">
        <v>2.7499799999999999</v>
      </c>
      <c r="Q31" s="175">
        <f t="shared" si="2"/>
        <v>506.27697999999992</v>
      </c>
      <c r="R31" s="47"/>
    </row>
    <row r="32" spans="1:18">
      <c r="A32" s="176" t="s">
        <v>36</v>
      </c>
      <c r="B32" s="307"/>
      <c r="C32" s="177" t="s">
        <v>13</v>
      </c>
      <c r="D32" s="53">
        <v>885.37506540327786</v>
      </c>
      <c r="E32" s="53">
        <v>568.995</v>
      </c>
      <c r="F32" s="178">
        <f t="shared" si="0"/>
        <v>1454.3700654032777</v>
      </c>
      <c r="G32" s="78">
        <v>4050.1379999999999</v>
      </c>
      <c r="H32" s="78">
        <v>57239.059000000001</v>
      </c>
      <c r="I32" s="179"/>
      <c r="J32" s="178">
        <f t="shared" si="1"/>
        <v>57239.059000000001</v>
      </c>
      <c r="K32" s="78">
        <v>17944.222000000002</v>
      </c>
      <c r="L32" s="54">
        <v>16796.737000000001</v>
      </c>
      <c r="M32" s="54">
        <f>1.5*1.08</f>
        <v>1.62</v>
      </c>
      <c r="N32" s="54">
        <v>401.67500000000001</v>
      </c>
      <c r="O32" s="54">
        <v>42.27</v>
      </c>
      <c r="P32" s="54">
        <f>334.622*1.08</f>
        <v>361.39176000000003</v>
      </c>
      <c r="Q32" s="180">
        <f t="shared" si="2"/>
        <v>98291.482825403276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0.4073</v>
      </c>
      <c r="E33" s="52">
        <v>7.9000000000000008E-3</v>
      </c>
      <c r="F33" s="181">
        <f t="shared" si="0"/>
        <v>0.41520000000000001</v>
      </c>
      <c r="G33" s="77">
        <v>0.1953</v>
      </c>
      <c r="H33" s="77">
        <v>233.24539999999999</v>
      </c>
      <c r="I33" s="174"/>
      <c r="J33" s="181">
        <f t="shared" si="1"/>
        <v>233.24539999999999</v>
      </c>
      <c r="K33" s="77">
        <v>65.460499999999996</v>
      </c>
      <c r="L33" s="33">
        <v>0.74719999999999998</v>
      </c>
      <c r="M33" s="33"/>
      <c r="N33" s="33">
        <v>4.1999999999999997E-3</v>
      </c>
      <c r="O33" s="33"/>
      <c r="P33" s="33"/>
      <c r="Q33" s="175">
        <f t="shared" si="2"/>
        <v>300.06780000000003</v>
      </c>
      <c r="R33" s="47"/>
    </row>
    <row r="34" spans="1:18">
      <c r="A34" s="176" t="s">
        <v>38</v>
      </c>
      <c r="B34" s="307"/>
      <c r="C34" s="177" t="s">
        <v>13</v>
      </c>
      <c r="D34" s="53">
        <v>78.827732533005474</v>
      </c>
      <c r="E34" s="53">
        <v>0.94499999999999995</v>
      </c>
      <c r="F34" s="178">
        <f t="shared" si="0"/>
        <v>79.772732533005467</v>
      </c>
      <c r="G34" s="78">
        <v>37.194000000000003</v>
      </c>
      <c r="H34" s="78">
        <v>17333.042000000001</v>
      </c>
      <c r="I34" s="179"/>
      <c r="J34" s="178">
        <f t="shared" si="1"/>
        <v>17333.042000000001</v>
      </c>
      <c r="K34" s="78">
        <v>4735.6369999999997</v>
      </c>
      <c r="L34" s="54">
        <v>141.19200000000001</v>
      </c>
      <c r="M34" s="54"/>
      <c r="N34" s="54">
        <v>1.407</v>
      </c>
      <c r="O34" s="54"/>
      <c r="P34" s="54"/>
      <c r="Q34" s="180">
        <f t="shared" si="2"/>
        <v>22328.244732533003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138">
        <v>855.0702</v>
      </c>
      <c r="I35" s="174"/>
      <c r="J35" s="181">
        <f t="shared" si="1"/>
        <v>855.0702</v>
      </c>
      <c r="K35" s="77">
        <v>5.87</v>
      </c>
      <c r="L35" s="33">
        <v>2E-3</v>
      </c>
      <c r="M35" s="33"/>
      <c r="N35" s="33">
        <v>0.2009</v>
      </c>
      <c r="O35" s="33"/>
      <c r="P35" s="33"/>
      <c r="Q35" s="175">
        <f t="shared" si="2"/>
        <v>861.1431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113372.492</v>
      </c>
      <c r="I36" s="179"/>
      <c r="J36" s="178">
        <f t="shared" si="1"/>
        <v>113372.492</v>
      </c>
      <c r="K36" s="78">
        <v>326.661</v>
      </c>
      <c r="L36" s="54">
        <v>2.835</v>
      </c>
      <c r="M36" s="54"/>
      <c r="N36" s="54">
        <v>32.456000000000003</v>
      </c>
      <c r="O36" s="54"/>
      <c r="P36" s="54"/>
      <c r="Q36" s="180">
        <f t="shared" si="2"/>
        <v>113734.444</v>
      </c>
      <c r="R36" s="47"/>
    </row>
    <row r="37" spans="1:18">
      <c r="A37" s="27"/>
      <c r="B37" s="308" t="s">
        <v>19</v>
      </c>
      <c r="C37" s="48" t="s">
        <v>11</v>
      </c>
      <c r="D37" s="110">
        <f t="shared" ref="D37:D38" si="13">D31+D33+D35</f>
        <v>5.343</v>
      </c>
      <c r="E37" s="33">
        <f t="shared" ref="E37:E38" si="14">+E31+E33+E35</f>
        <v>3.6443999999999996</v>
      </c>
      <c r="F37" s="181">
        <f t="shared" si="0"/>
        <v>8.9873999999999992</v>
      </c>
      <c r="G37" s="49">
        <f t="shared" ref="G37:H38" si="15">+G31+G33+G35</f>
        <v>15.319099999999999</v>
      </c>
      <c r="H37" s="49">
        <f t="shared" si="15"/>
        <v>1383.7773999999999</v>
      </c>
      <c r="I37" s="50"/>
      <c r="J37" s="181">
        <f t="shared" si="1"/>
        <v>1383.7773999999999</v>
      </c>
      <c r="K37" s="49">
        <f t="shared" ref="K37:L38" si="16">+K31+K33+K35</f>
        <v>195.16669999999999</v>
      </c>
      <c r="L37" s="33">
        <f t="shared" si="16"/>
        <v>56.447600000000001</v>
      </c>
      <c r="M37" s="33">
        <f>+M31+M33+M35</f>
        <v>5.0000000000000001E-3</v>
      </c>
      <c r="N37" s="33">
        <f>+N31+N33+N35</f>
        <v>4.7645</v>
      </c>
      <c r="O37" s="33">
        <f t="shared" ref="O37:O38" si="17">+O31+O33+O35</f>
        <v>0.2702</v>
      </c>
      <c r="P37" s="33">
        <f t="shared" ref="P37:P38" si="18">P31+P33+P35</f>
        <v>2.7499799999999999</v>
      </c>
      <c r="Q37" s="175">
        <f t="shared" si="2"/>
        <v>1667.4878799999999</v>
      </c>
      <c r="R37" s="47"/>
    </row>
    <row r="38" spans="1:18">
      <c r="A38" s="183"/>
      <c r="B38" s="309"/>
      <c r="C38" s="177" t="s">
        <v>13</v>
      </c>
      <c r="D38" s="111">
        <f t="shared" si="13"/>
        <v>964.20279793628333</v>
      </c>
      <c r="E38" s="54">
        <f t="shared" si="14"/>
        <v>569.94000000000005</v>
      </c>
      <c r="F38" s="178">
        <f t="shared" si="0"/>
        <v>1534.1427979362834</v>
      </c>
      <c r="G38" s="68">
        <f t="shared" si="15"/>
        <v>4087.3319999999999</v>
      </c>
      <c r="H38" s="68">
        <f t="shared" si="15"/>
        <v>187944.59299999999</v>
      </c>
      <c r="I38" s="63"/>
      <c r="J38" s="178">
        <f t="shared" si="1"/>
        <v>187944.59299999999</v>
      </c>
      <c r="K38" s="68">
        <f t="shared" si="16"/>
        <v>23006.52</v>
      </c>
      <c r="L38" s="54">
        <f>+L32+L34+L36</f>
        <v>16940.763999999999</v>
      </c>
      <c r="M38" s="54">
        <f>+M32+M34+M36</f>
        <v>1.62</v>
      </c>
      <c r="N38" s="54">
        <f t="shared" ref="N38" si="19">+N32+N34+N36</f>
        <v>435.53800000000001</v>
      </c>
      <c r="O38" s="54">
        <f t="shared" si="17"/>
        <v>42.27</v>
      </c>
      <c r="P38" s="54">
        <f t="shared" si="18"/>
        <v>361.39176000000003</v>
      </c>
      <c r="Q38" s="180">
        <f t="shared" si="2"/>
        <v>234354.17155793624</v>
      </c>
      <c r="R38" s="47"/>
    </row>
    <row r="39" spans="1:18">
      <c r="A39" s="310" t="s">
        <v>40</v>
      </c>
      <c r="B39" s="311"/>
      <c r="C39" s="48" t="s">
        <v>11</v>
      </c>
      <c r="D39" s="52">
        <v>0.1875</v>
      </c>
      <c r="E39" s="52">
        <v>0.22</v>
      </c>
      <c r="F39" s="181">
        <f t="shared" si="0"/>
        <v>0.40749999999999997</v>
      </c>
      <c r="G39" s="77">
        <v>4.1749999999999998</v>
      </c>
      <c r="H39" s="77">
        <v>6.7039999999999997</v>
      </c>
      <c r="I39" s="174"/>
      <c r="J39" s="181">
        <f t="shared" si="1"/>
        <v>6.7039999999999997</v>
      </c>
      <c r="K39" s="77">
        <v>102.2915</v>
      </c>
      <c r="L39" s="33"/>
      <c r="M39" s="33"/>
      <c r="N39" s="33"/>
      <c r="O39" s="33"/>
      <c r="P39" s="33"/>
      <c r="Q39" s="175">
        <f t="shared" si="2"/>
        <v>113.578</v>
      </c>
      <c r="R39" s="47"/>
    </row>
    <row r="40" spans="1:18">
      <c r="A40" s="312"/>
      <c r="B40" s="313"/>
      <c r="C40" s="177" t="s">
        <v>13</v>
      </c>
      <c r="D40" s="53">
        <v>139.45580755482754</v>
      </c>
      <c r="E40" s="53">
        <v>78.75</v>
      </c>
      <c r="F40" s="178">
        <f t="shared" si="0"/>
        <v>218.20580755482754</v>
      </c>
      <c r="G40" s="78">
        <v>618.67899999999997</v>
      </c>
      <c r="H40" s="78">
        <v>334.90300000000002</v>
      </c>
      <c r="I40" s="179"/>
      <c r="J40" s="178">
        <f t="shared" si="1"/>
        <v>334.90300000000002</v>
      </c>
      <c r="K40" s="78">
        <v>4983.3180000000002</v>
      </c>
      <c r="L40" s="54"/>
      <c r="M40" s="54"/>
      <c r="N40" s="54"/>
      <c r="O40" s="54"/>
      <c r="P40" s="54"/>
      <c r="Q40" s="180">
        <f t="shared" si="2"/>
        <v>6155.1058075548281</v>
      </c>
      <c r="R40" s="47"/>
    </row>
    <row r="41" spans="1:18">
      <c r="A41" s="310" t="s">
        <v>41</v>
      </c>
      <c r="B41" s="311"/>
      <c r="C41" s="48" t="s">
        <v>11</v>
      </c>
      <c r="D41" s="52">
        <v>1.3666</v>
      </c>
      <c r="E41" s="52">
        <v>5.5300000000000002E-2</v>
      </c>
      <c r="F41" s="181">
        <f t="shared" si="0"/>
        <v>1.4218999999999999</v>
      </c>
      <c r="G41" s="77">
        <v>0</v>
      </c>
      <c r="H41" s="77"/>
      <c r="I41" s="174"/>
      <c r="J41" s="181">
        <f t="shared" si="1"/>
        <v>0</v>
      </c>
      <c r="K41" s="77">
        <v>0.373</v>
      </c>
      <c r="L41" s="33">
        <v>1E-3</v>
      </c>
      <c r="M41" s="33"/>
      <c r="N41" s="33"/>
      <c r="O41" s="33"/>
      <c r="P41" s="33"/>
      <c r="Q41" s="175">
        <f t="shared" si="2"/>
        <v>1.7958999999999998</v>
      </c>
      <c r="R41" s="47"/>
    </row>
    <row r="42" spans="1:18">
      <c r="A42" s="312"/>
      <c r="B42" s="313"/>
      <c r="C42" s="177" t="s">
        <v>13</v>
      </c>
      <c r="D42" s="53">
        <v>1412.7209830442916</v>
      </c>
      <c r="E42" s="53">
        <v>56.912999999999997</v>
      </c>
      <c r="F42" s="178">
        <f t="shared" si="0"/>
        <v>1469.6339830442917</v>
      </c>
      <c r="G42" s="78">
        <v>6.3</v>
      </c>
      <c r="H42" s="78"/>
      <c r="I42" s="179"/>
      <c r="J42" s="178">
        <f t="shared" si="1"/>
        <v>0</v>
      </c>
      <c r="K42" s="78">
        <v>27.067</v>
      </c>
      <c r="L42" s="54">
        <v>0.315</v>
      </c>
      <c r="M42" s="54"/>
      <c r="N42" s="54"/>
      <c r="O42" s="54"/>
      <c r="P42" s="54"/>
      <c r="Q42" s="180">
        <f t="shared" si="2"/>
        <v>1503.3159830442917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1.47E-2</v>
      </c>
      <c r="H45" s="77">
        <v>7.4099999999999999E-2</v>
      </c>
      <c r="I45" s="174"/>
      <c r="J45" s="181">
        <f t="shared" si="1"/>
        <v>7.4099999999999999E-2</v>
      </c>
      <c r="K45" s="77">
        <v>3.8E-3</v>
      </c>
      <c r="L45" s="33"/>
      <c r="M45" s="33"/>
      <c r="N45" s="33"/>
      <c r="O45" s="33"/>
      <c r="P45" s="33"/>
      <c r="Q45" s="175">
        <f t="shared" si="2"/>
        <v>9.2600000000000002E-2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>
        <v>19.751000000000001</v>
      </c>
      <c r="H46" s="103">
        <v>48.427</v>
      </c>
      <c r="I46" s="179"/>
      <c r="J46" s="178">
        <f t="shared" si="1"/>
        <v>48.427</v>
      </c>
      <c r="K46" s="78">
        <v>2.258</v>
      </c>
      <c r="L46" s="54"/>
      <c r="M46" s="54"/>
      <c r="N46" s="54"/>
      <c r="O46" s="54"/>
      <c r="P46" s="54"/>
      <c r="Q46" s="180">
        <f t="shared" si="2"/>
        <v>70.435999999999993</v>
      </c>
      <c r="R46" s="47"/>
    </row>
    <row r="47" spans="1:18">
      <c r="A47" s="310" t="s">
        <v>44</v>
      </c>
      <c r="B47" s="311"/>
      <c r="C47" s="48" t="s">
        <v>11</v>
      </c>
      <c r="D47" s="52">
        <v>0.112</v>
      </c>
      <c r="E47" s="52">
        <v>0.03</v>
      </c>
      <c r="F47" s="181">
        <f t="shared" si="0"/>
        <v>0.14200000000000002</v>
      </c>
      <c r="G47" s="77">
        <v>9.4E-2</v>
      </c>
      <c r="H47" s="77">
        <v>3.7600000000000001E-2</v>
      </c>
      <c r="I47" s="174"/>
      <c r="J47" s="181">
        <f t="shared" si="1"/>
        <v>3.7600000000000001E-2</v>
      </c>
      <c r="K47" s="77">
        <v>3.0000000000000001E-3</v>
      </c>
      <c r="L47" s="33"/>
      <c r="M47" s="33"/>
      <c r="N47" s="33"/>
      <c r="O47" s="33"/>
      <c r="P47" s="33"/>
      <c r="Q47" s="175">
        <f t="shared" si="2"/>
        <v>0.27660000000000001</v>
      </c>
      <c r="R47" s="47"/>
    </row>
    <row r="48" spans="1:18">
      <c r="A48" s="312"/>
      <c r="B48" s="313"/>
      <c r="C48" s="177" t="s">
        <v>13</v>
      </c>
      <c r="D48" s="53">
        <v>54.8520226379866</v>
      </c>
      <c r="E48" s="53">
        <v>20.475999999999999</v>
      </c>
      <c r="F48" s="178">
        <f t="shared" si="0"/>
        <v>75.328022637986606</v>
      </c>
      <c r="G48" s="78">
        <v>13.99</v>
      </c>
      <c r="H48" s="78">
        <v>47.387</v>
      </c>
      <c r="I48" s="179"/>
      <c r="J48" s="178">
        <f t="shared" si="1"/>
        <v>47.387</v>
      </c>
      <c r="K48" s="78">
        <v>1.9950000000000001</v>
      </c>
      <c r="L48" s="54"/>
      <c r="M48" s="54"/>
      <c r="N48" s="54"/>
      <c r="O48" s="54"/>
      <c r="P48" s="54"/>
      <c r="Q48" s="180">
        <f t="shared" si="2"/>
        <v>138.70002263798659</v>
      </c>
      <c r="R48" s="47"/>
    </row>
    <row r="49" spans="1:18">
      <c r="A49" s="310" t="s">
        <v>45</v>
      </c>
      <c r="B49" s="311"/>
      <c r="C49" s="48" t="s">
        <v>11</v>
      </c>
      <c r="D49" s="52"/>
      <c r="E49" s="52">
        <v>1.4999999999999999E-2</v>
      </c>
      <c r="F49" s="181">
        <f t="shared" si="0"/>
        <v>1.4999999999999999E-2</v>
      </c>
      <c r="G49" s="77">
        <v>878.16899999999998</v>
      </c>
      <c r="H49" s="77">
        <v>3593.1862000000001</v>
      </c>
      <c r="I49" s="174"/>
      <c r="J49" s="181">
        <f t="shared" si="1"/>
        <v>3593.1862000000001</v>
      </c>
      <c r="K49" s="77">
        <v>168.166</v>
      </c>
      <c r="L49" s="33">
        <v>5.82</v>
      </c>
      <c r="M49" s="33"/>
      <c r="N49" s="33"/>
      <c r="O49" s="33"/>
      <c r="P49" s="33"/>
      <c r="Q49" s="175">
        <f t="shared" si="2"/>
        <v>4645.3562000000002</v>
      </c>
      <c r="R49" s="47"/>
    </row>
    <row r="50" spans="1:18">
      <c r="A50" s="312"/>
      <c r="B50" s="313"/>
      <c r="C50" s="177" t="s">
        <v>13</v>
      </c>
      <c r="D50" s="53"/>
      <c r="E50" s="53">
        <v>9.4499999999999993</v>
      </c>
      <c r="F50" s="178">
        <f t="shared" si="0"/>
        <v>9.4499999999999993</v>
      </c>
      <c r="G50" s="78">
        <v>79261.804000000004</v>
      </c>
      <c r="H50" s="78">
        <v>308535.36099999998</v>
      </c>
      <c r="I50" s="179"/>
      <c r="J50" s="178">
        <f t="shared" si="1"/>
        <v>308535.36099999998</v>
      </c>
      <c r="K50" s="78">
        <v>12382.302</v>
      </c>
      <c r="L50" s="54">
        <v>61.11</v>
      </c>
      <c r="M50" s="54"/>
      <c r="N50" s="54"/>
      <c r="O50" s="54"/>
      <c r="P50" s="54"/>
      <c r="Q50" s="180">
        <f t="shared" si="2"/>
        <v>400250.027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0.10299999999999999</v>
      </c>
      <c r="F51" s="181">
        <f t="shared" si="0"/>
        <v>0.10299999999999999</v>
      </c>
      <c r="G51" s="77">
        <v>8.0000000000000002E-3</v>
      </c>
      <c r="H51" s="77"/>
      <c r="I51" s="174"/>
      <c r="J51" s="181">
        <f t="shared" si="1"/>
        <v>0</v>
      </c>
      <c r="K51" s="77">
        <v>255.57</v>
      </c>
      <c r="L51" s="33"/>
      <c r="M51" s="33"/>
      <c r="N51" s="33"/>
      <c r="O51" s="33"/>
      <c r="P51" s="33"/>
      <c r="Q51" s="175">
        <f t="shared" si="2"/>
        <v>255.68099999999998</v>
      </c>
      <c r="R51" s="47"/>
    </row>
    <row r="52" spans="1:18">
      <c r="A52" s="312"/>
      <c r="B52" s="313"/>
      <c r="C52" s="177" t="s">
        <v>13</v>
      </c>
      <c r="D52" s="53"/>
      <c r="E52" s="53">
        <v>88.935000000000002</v>
      </c>
      <c r="F52" s="178">
        <f t="shared" si="0"/>
        <v>88.935000000000002</v>
      </c>
      <c r="G52" s="78">
        <v>2.94</v>
      </c>
      <c r="H52" s="78"/>
      <c r="I52" s="179"/>
      <c r="J52" s="178">
        <f t="shared" si="1"/>
        <v>0</v>
      </c>
      <c r="K52" s="78">
        <v>22619.401999999998</v>
      </c>
      <c r="L52" s="54"/>
      <c r="M52" s="54"/>
      <c r="N52" s="54"/>
      <c r="O52" s="54"/>
      <c r="P52" s="54"/>
      <c r="Q52" s="180">
        <f t="shared" si="2"/>
        <v>22711.276999999998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/>
      <c r="F53" s="181">
        <f t="shared" si="0"/>
        <v>0</v>
      </c>
      <c r="G53" s="77">
        <v>1.41E-2</v>
      </c>
      <c r="H53" s="77">
        <v>0.14960000000000001</v>
      </c>
      <c r="I53" s="174"/>
      <c r="J53" s="181">
        <f t="shared" si="1"/>
        <v>0.14960000000000001</v>
      </c>
      <c r="K53" s="77">
        <v>1.8E-3</v>
      </c>
      <c r="L53" s="33">
        <v>5.8299999999999998E-2</v>
      </c>
      <c r="M53" s="33"/>
      <c r="N53" s="33"/>
      <c r="O53" s="33"/>
      <c r="P53" s="33"/>
      <c r="Q53" s="175">
        <f t="shared" si="2"/>
        <v>0.2238</v>
      </c>
      <c r="R53" s="47"/>
    </row>
    <row r="54" spans="1:18">
      <c r="A54" s="312"/>
      <c r="B54" s="313"/>
      <c r="C54" s="177" t="s">
        <v>13</v>
      </c>
      <c r="D54" s="53"/>
      <c r="E54" s="53"/>
      <c r="F54" s="178">
        <f t="shared" si="0"/>
        <v>0</v>
      </c>
      <c r="G54" s="78">
        <v>76.281999999999996</v>
      </c>
      <c r="H54" s="78">
        <v>117.688</v>
      </c>
      <c r="I54" s="179"/>
      <c r="J54" s="178">
        <f t="shared" si="1"/>
        <v>117.688</v>
      </c>
      <c r="K54" s="78">
        <v>1.89</v>
      </c>
      <c r="L54" s="54">
        <v>95.269000000000005</v>
      </c>
      <c r="M54" s="54"/>
      <c r="N54" s="54"/>
      <c r="O54" s="54"/>
      <c r="P54" s="54"/>
      <c r="Q54" s="180">
        <f t="shared" si="2"/>
        <v>291.12900000000002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0.60460000000000003</v>
      </c>
      <c r="E55" s="52"/>
      <c r="F55" s="181">
        <f t="shared" si="0"/>
        <v>0.60460000000000003</v>
      </c>
      <c r="G55" s="77">
        <v>2.0999999999999999E-3</v>
      </c>
      <c r="H55" s="77">
        <v>2.2000000000000001E-3</v>
      </c>
      <c r="I55" s="174"/>
      <c r="J55" s="181">
        <f t="shared" si="1"/>
        <v>2.2000000000000001E-3</v>
      </c>
      <c r="K55" s="77"/>
      <c r="L55" s="33"/>
      <c r="M55" s="33"/>
      <c r="N55" s="33"/>
      <c r="O55" s="33"/>
      <c r="P55" s="33"/>
      <c r="Q55" s="175">
        <f t="shared" si="2"/>
        <v>0.6089</v>
      </c>
      <c r="R55" s="47"/>
    </row>
    <row r="56" spans="1:18">
      <c r="A56" s="176" t="s">
        <v>36</v>
      </c>
      <c r="B56" s="307"/>
      <c r="C56" s="177" t="s">
        <v>13</v>
      </c>
      <c r="D56" s="53">
        <v>571.37873581380484</v>
      </c>
      <c r="E56" s="53"/>
      <c r="F56" s="178">
        <f t="shared" si="0"/>
        <v>571.37873581380484</v>
      </c>
      <c r="G56" s="78">
        <v>2.0539999999999998</v>
      </c>
      <c r="H56" s="78">
        <v>0.48299999999999998</v>
      </c>
      <c r="I56" s="179"/>
      <c r="J56" s="178">
        <f t="shared" si="1"/>
        <v>0.48299999999999998</v>
      </c>
      <c r="K56" s="78"/>
      <c r="L56" s="54"/>
      <c r="M56" s="54"/>
      <c r="N56" s="54"/>
      <c r="O56" s="54"/>
      <c r="P56" s="54"/>
      <c r="Q56" s="180">
        <f t="shared" si="2"/>
        <v>573.91573581380476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0.25359999999999999</v>
      </c>
      <c r="E57" s="52">
        <v>0.17560000000000001</v>
      </c>
      <c r="F57" s="181">
        <f t="shared" si="0"/>
        <v>0.42920000000000003</v>
      </c>
      <c r="G57" s="77">
        <v>1.2999999999999999E-3</v>
      </c>
      <c r="H57" s="77"/>
      <c r="I57" s="174"/>
      <c r="J57" s="181">
        <f t="shared" si="1"/>
        <v>0</v>
      </c>
      <c r="K57" s="77">
        <v>1.52E-2</v>
      </c>
      <c r="L57" s="33">
        <v>2.2100000000000002E-2</v>
      </c>
      <c r="M57" s="33"/>
      <c r="N57" s="33"/>
      <c r="O57" s="33"/>
      <c r="P57" s="33"/>
      <c r="Q57" s="175">
        <f t="shared" si="2"/>
        <v>0.46780000000000005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32.109013251715737</v>
      </c>
      <c r="E58" s="53">
        <v>80.957999999999998</v>
      </c>
      <c r="F58" s="178">
        <f t="shared" si="0"/>
        <v>113.06701325171574</v>
      </c>
      <c r="G58" s="78">
        <v>0.47399999999999998</v>
      </c>
      <c r="H58" s="103"/>
      <c r="I58" s="179"/>
      <c r="J58" s="178">
        <f t="shared" si="1"/>
        <v>0</v>
      </c>
      <c r="K58" s="78">
        <v>7.875</v>
      </c>
      <c r="L58" s="54">
        <v>43.88</v>
      </c>
      <c r="M58" s="54"/>
      <c r="N58" s="54"/>
      <c r="O58" s="54"/>
      <c r="P58" s="54"/>
      <c r="Q58" s="180">
        <f t="shared" si="2"/>
        <v>165.29601325171575</v>
      </c>
      <c r="R58" s="47"/>
    </row>
    <row r="59" spans="1:18">
      <c r="A59" s="27"/>
      <c r="B59" s="308" t="s">
        <v>19</v>
      </c>
      <c r="C59" s="48" t="s">
        <v>11</v>
      </c>
      <c r="D59" s="110">
        <f>D55+D57</f>
        <v>0.85820000000000007</v>
      </c>
      <c r="E59" s="33">
        <f t="shared" ref="E59:E60" si="20">+E55+E57</f>
        <v>0.17560000000000001</v>
      </c>
      <c r="F59" s="181">
        <f t="shared" si="0"/>
        <v>1.0338000000000001</v>
      </c>
      <c r="G59" s="49">
        <f t="shared" ref="G59:H60" si="21">+G55+G57</f>
        <v>3.3999999999999998E-3</v>
      </c>
      <c r="H59" s="49">
        <f t="shared" si="21"/>
        <v>2.2000000000000001E-3</v>
      </c>
      <c r="I59" s="50"/>
      <c r="J59" s="181">
        <f t="shared" si="1"/>
        <v>2.2000000000000001E-3</v>
      </c>
      <c r="K59" s="49">
        <f t="shared" ref="K59:L60" si="22">+K55+K57</f>
        <v>1.52E-2</v>
      </c>
      <c r="L59" s="33">
        <f t="shared" si="22"/>
        <v>2.2100000000000002E-2</v>
      </c>
      <c r="M59" s="33"/>
      <c r="N59" s="33"/>
      <c r="O59" s="33"/>
      <c r="P59" s="33"/>
      <c r="Q59" s="175">
        <f t="shared" si="2"/>
        <v>1.0767000000000002</v>
      </c>
      <c r="R59" s="47"/>
    </row>
    <row r="60" spans="1:18">
      <c r="A60" s="183"/>
      <c r="B60" s="309"/>
      <c r="C60" s="177" t="s">
        <v>13</v>
      </c>
      <c r="D60" s="111">
        <f>D56+D58</f>
        <v>603.48774906552057</v>
      </c>
      <c r="E60" s="54">
        <f t="shared" si="20"/>
        <v>80.957999999999998</v>
      </c>
      <c r="F60" s="178">
        <f t="shared" si="0"/>
        <v>684.44574906552054</v>
      </c>
      <c r="G60" s="68">
        <f t="shared" si="21"/>
        <v>2.5279999999999996</v>
      </c>
      <c r="H60" s="68">
        <f t="shared" si="21"/>
        <v>0.48299999999999998</v>
      </c>
      <c r="I60" s="63"/>
      <c r="J60" s="178">
        <f t="shared" si="1"/>
        <v>0.48299999999999998</v>
      </c>
      <c r="K60" s="68">
        <f t="shared" si="22"/>
        <v>7.875</v>
      </c>
      <c r="L60" s="54">
        <f t="shared" si="22"/>
        <v>43.88</v>
      </c>
      <c r="M60" s="54"/>
      <c r="N60" s="54"/>
      <c r="O60" s="54"/>
      <c r="P60" s="54"/>
      <c r="Q60" s="180">
        <f t="shared" si="2"/>
        <v>739.21174906552051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7.4000000000000003E-3</v>
      </c>
      <c r="E61" s="52"/>
      <c r="F61" s="181">
        <f t="shared" si="0"/>
        <v>7.4000000000000003E-3</v>
      </c>
      <c r="G61" s="77">
        <v>0.26400000000000001</v>
      </c>
      <c r="H61" s="77">
        <v>7.5629999999999997</v>
      </c>
      <c r="I61" s="174"/>
      <c r="J61" s="181">
        <f t="shared" si="1"/>
        <v>7.5629999999999997</v>
      </c>
      <c r="K61" s="77"/>
      <c r="L61" s="33">
        <v>0.35499999999999998</v>
      </c>
      <c r="M61" s="33"/>
      <c r="N61" s="33"/>
      <c r="O61" s="33"/>
      <c r="P61" s="33"/>
      <c r="Q61" s="175">
        <f t="shared" si="2"/>
        <v>8.1893999999999991</v>
      </c>
      <c r="R61" s="47"/>
    </row>
    <row r="62" spans="1:18">
      <c r="A62" s="176" t="s">
        <v>51</v>
      </c>
      <c r="B62" s="307"/>
      <c r="C62" s="177" t="s">
        <v>13</v>
      </c>
      <c r="D62" s="53">
        <v>0.59325024484039868</v>
      </c>
      <c r="E62" s="53"/>
      <c r="F62" s="178">
        <f t="shared" si="0"/>
        <v>0.59325024484039868</v>
      </c>
      <c r="G62" s="78">
        <v>17.449000000000002</v>
      </c>
      <c r="H62" s="78">
        <v>258.37299999999999</v>
      </c>
      <c r="I62" s="179"/>
      <c r="J62" s="178">
        <f t="shared" si="1"/>
        <v>258.37299999999999</v>
      </c>
      <c r="K62" s="78"/>
      <c r="L62" s="54">
        <v>15.186999999999999</v>
      </c>
      <c r="M62" s="54"/>
      <c r="N62" s="54"/>
      <c r="O62" s="54"/>
      <c r="P62" s="54"/>
      <c r="Q62" s="180">
        <f t="shared" si="2"/>
        <v>291.60225024484038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/>
      <c r="E63" s="52">
        <v>4.1900000000000004</v>
      </c>
      <c r="F63" s="181">
        <f t="shared" si="0"/>
        <v>4.1900000000000004</v>
      </c>
      <c r="G63" s="77">
        <v>429.56540000000001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433.75540000000001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/>
      <c r="E64" s="53">
        <v>346.185</v>
      </c>
      <c r="F64" s="178">
        <f t="shared" si="0"/>
        <v>346.185</v>
      </c>
      <c r="G64" s="78">
        <v>52089.909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52436.093999999997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238.851</v>
      </c>
      <c r="H65" s="77">
        <v>0.01</v>
      </c>
      <c r="I65" s="174"/>
      <c r="J65" s="181">
        <f t="shared" si="1"/>
        <v>0.01</v>
      </c>
      <c r="K65" s="77"/>
      <c r="L65" s="33"/>
      <c r="M65" s="33"/>
      <c r="N65" s="33"/>
      <c r="O65" s="33"/>
      <c r="P65" s="33"/>
      <c r="Q65" s="175">
        <f t="shared" si="2"/>
        <v>238.86099999999999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33736.04</v>
      </c>
      <c r="H66" s="78">
        <v>2.625</v>
      </c>
      <c r="I66" s="179"/>
      <c r="J66" s="178">
        <f t="shared" si="1"/>
        <v>2.625</v>
      </c>
      <c r="K66" s="78"/>
      <c r="L66" s="54"/>
      <c r="M66" s="54"/>
      <c r="N66" s="54"/>
      <c r="O66" s="54"/>
      <c r="P66" s="54"/>
      <c r="Q66" s="180">
        <f t="shared" si="2"/>
        <v>33738.665000000001</v>
      </c>
      <c r="R66" s="47"/>
    </row>
    <row r="67" spans="1:18">
      <c r="A67" s="27"/>
      <c r="B67" s="46" t="s">
        <v>15</v>
      </c>
      <c r="C67" s="48" t="s">
        <v>11</v>
      </c>
      <c r="D67" s="52"/>
      <c r="E67" s="52">
        <v>0.222</v>
      </c>
      <c r="F67" s="181">
        <f t="shared" si="0"/>
        <v>0.222</v>
      </c>
      <c r="G67" s="77">
        <v>53.103700000000003</v>
      </c>
      <c r="H67" s="77"/>
      <c r="I67" s="174"/>
      <c r="J67" s="181">
        <f t="shared" si="1"/>
        <v>0</v>
      </c>
      <c r="K67" s="77">
        <v>1.19</v>
      </c>
      <c r="L67" s="33">
        <v>1.2E-2</v>
      </c>
      <c r="M67" s="33"/>
      <c r="N67" s="33"/>
      <c r="O67" s="33"/>
      <c r="P67" s="33"/>
      <c r="Q67" s="175">
        <f t="shared" si="2"/>
        <v>54.527700000000003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/>
      <c r="E68" s="56">
        <v>10.648</v>
      </c>
      <c r="F68" s="185">
        <f t="shared" si="0"/>
        <v>10.648</v>
      </c>
      <c r="G68" s="104">
        <v>5947.0550000000003</v>
      </c>
      <c r="H68" s="104"/>
      <c r="I68" s="186"/>
      <c r="J68" s="185">
        <f t="shared" si="1"/>
        <v>0</v>
      </c>
      <c r="K68" s="104">
        <v>42.564999999999998</v>
      </c>
      <c r="L68" s="37">
        <v>11.13</v>
      </c>
      <c r="M68" s="37"/>
      <c r="N68" s="37"/>
      <c r="O68" s="37"/>
      <c r="P68" s="37"/>
      <c r="Q68" s="187">
        <f t="shared" si="2"/>
        <v>6011.3980000000001</v>
      </c>
      <c r="R68" s="47"/>
    </row>
    <row r="69" spans="1:18">
      <c r="D69" s="112"/>
      <c r="E69" s="112"/>
      <c r="F69" s="64"/>
      <c r="G69" s="145"/>
      <c r="H69" s="145"/>
      <c r="I69" s="64"/>
      <c r="J69" s="137"/>
      <c r="K69" s="145"/>
      <c r="Q69" s="67"/>
    </row>
    <row r="70" spans="1:18">
      <c r="D70" s="112"/>
      <c r="E70" s="112"/>
      <c r="F70" s="64"/>
      <c r="G70" s="145"/>
      <c r="H70" s="145"/>
      <c r="I70" s="64"/>
      <c r="J70" s="137"/>
      <c r="K70" s="145"/>
      <c r="Q70" s="67"/>
    </row>
    <row r="71" spans="1:18">
      <c r="D71" s="112"/>
      <c r="E71" s="112"/>
      <c r="F71" s="64"/>
      <c r="G71" s="145"/>
      <c r="H71" s="145"/>
      <c r="I71" s="64"/>
      <c r="J71" s="137"/>
      <c r="K71" s="145"/>
      <c r="Q71" s="67"/>
    </row>
    <row r="72" spans="1:18">
      <c r="D72" s="112"/>
      <c r="E72" s="112"/>
      <c r="F72" s="64"/>
      <c r="G72" s="145"/>
      <c r="H72" s="145"/>
      <c r="I72" s="64"/>
      <c r="J72" s="137"/>
      <c r="K72" s="145"/>
      <c r="Q72" s="67"/>
    </row>
    <row r="73" spans="1:18">
      <c r="D73" s="112"/>
      <c r="E73" s="112"/>
      <c r="F73" s="64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104</v>
      </c>
      <c r="C74" s="35"/>
      <c r="D74" s="113"/>
      <c r="E74" s="113"/>
      <c r="F74" s="65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f t="shared" ref="D76:D77" si="23">D61+D63+D65+D67</f>
        <v>7.4000000000000003E-3</v>
      </c>
      <c r="E76" s="33">
        <f t="shared" ref="E76:E77" si="24">+E61+E63+E65+E67</f>
        <v>4.4120000000000008</v>
      </c>
      <c r="F76" s="191">
        <f t="shared" ref="F76:F133" si="25">SUM(D76:E76)</f>
        <v>4.4194000000000004</v>
      </c>
      <c r="G76" s="49">
        <f t="shared" ref="G76:H77" si="26">+G61+G63+G65+G67</f>
        <v>721.78409999999997</v>
      </c>
      <c r="H76" s="49">
        <f t="shared" si="26"/>
        <v>7.5729999999999995</v>
      </c>
      <c r="I76" s="50"/>
      <c r="J76" s="191">
        <f t="shared" ref="J76:J133" si="27">SUM(H76:I76)</f>
        <v>7.5729999999999995</v>
      </c>
      <c r="K76" s="49">
        <f t="shared" ref="K76:L77" si="28">+K61+K63+K65+K67</f>
        <v>1.19</v>
      </c>
      <c r="L76" s="33">
        <f t="shared" si="28"/>
        <v>0.36699999999999999</v>
      </c>
      <c r="M76" s="33"/>
      <c r="N76" s="33"/>
      <c r="O76" s="33"/>
      <c r="P76" s="33"/>
      <c r="Q76" s="175">
        <f t="shared" ref="Q76:Q140" si="29">SUM(F76:G76,J76:P76)</f>
        <v>735.33349999999996</v>
      </c>
      <c r="R76" s="27"/>
    </row>
    <row r="77" spans="1:18">
      <c r="A77" s="166" t="s">
        <v>53</v>
      </c>
      <c r="B77" s="309"/>
      <c r="C77" s="192" t="s">
        <v>13</v>
      </c>
      <c r="D77" s="111">
        <f t="shared" si="23"/>
        <v>0.59325024484039868</v>
      </c>
      <c r="E77" s="54">
        <f t="shared" si="24"/>
        <v>356.83300000000003</v>
      </c>
      <c r="F77" s="193">
        <f t="shared" si="25"/>
        <v>357.42625024484045</v>
      </c>
      <c r="G77" s="68">
        <f t="shared" si="26"/>
        <v>91790.453000000009</v>
      </c>
      <c r="H77" s="68">
        <f t="shared" si="26"/>
        <v>260.99799999999999</v>
      </c>
      <c r="I77" s="63"/>
      <c r="J77" s="193">
        <f t="shared" si="27"/>
        <v>260.99799999999999</v>
      </c>
      <c r="K77" s="68">
        <f t="shared" si="28"/>
        <v>42.564999999999998</v>
      </c>
      <c r="L77" s="54">
        <f t="shared" si="28"/>
        <v>26.317</v>
      </c>
      <c r="M77" s="54"/>
      <c r="N77" s="54"/>
      <c r="O77" s="54"/>
      <c r="P77" s="54"/>
      <c r="Q77" s="180">
        <f t="shared" si="29"/>
        <v>92477.759250244853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0.76970000000000005</v>
      </c>
      <c r="E78" s="52">
        <v>0.1419</v>
      </c>
      <c r="F78" s="191">
        <f t="shared" si="25"/>
        <v>0.91160000000000008</v>
      </c>
      <c r="G78" s="77">
        <v>6.0600000000000001E-2</v>
      </c>
      <c r="H78" s="77">
        <v>26.0396</v>
      </c>
      <c r="I78" s="174"/>
      <c r="J78" s="191">
        <f t="shared" si="27"/>
        <v>26.0396</v>
      </c>
      <c r="K78" s="77">
        <v>0.69350000000000001</v>
      </c>
      <c r="L78" s="33">
        <v>0.32640000000000002</v>
      </c>
      <c r="M78" s="33">
        <v>1.0500000000000001E-2</v>
      </c>
      <c r="N78" s="33">
        <v>5.6547999999999998</v>
      </c>
      <c r="O78" s="33">
        <v>0.2389</v>
      </c>
      <c r="P78" s="33">
        <v>0.1948</v>
      </c>
      <c r="Q78" s="175">
        <f t="shared" si="29"/>
        <v>34.130700000000004</v>
      </c>
      <c r="R78" s="27"/>
    </row>
    <row r="79" spans="1:18">
      <c r="A79" s="176" t="s">
        <v>31</v>
      </c>
      <c r="B79" s="307"/>
      <c r="C79" s="192" t="s">
        <v>13</v>
      </c>
      <c r="D79" s="53">
        <v>1601.5593609798075</v>
      </c>
      <c r="E79" s="53">
        <v>214.602</v>
      </c>
      <c r="F79" s="193">
        <f t="shared" si="25"/>
        <v>1816.1613609798076</v>
      </c>
      <c r="G79" s="78">
        <v>167.81299999999999</v>
      </c>
      <c r="H79" s="78">
        <v>17807.041000000001</v>
      </c>
      <c r="I79" s="179"/>
      <c r="J79" s="193">
        <f t="shared" si="27"/>
        <v>17807.041000000001</v>
      </c>
      <c r="K79" s="78">
        <v>710.43</v>
      </c>
      <c r="L79" s="54">
        <v>503.709</v>
      </c>
      <c r="M79" s="54">
        <f>7.55*1.08</f>
        <v>8.1539999999999999</v>
      </c>
      <c r="N79" s="54">
        <v>6176.4390000000003</v>
      </c>
      <c r="O79" s="54">
        <v>313.50200000000001</v>
      </c>
      <c r="P79" s="54">
        <f>346.28*1.08</f>
        <v>373.98239999999998</v>
      </c>
      <c r="Q79" s="180">
        <f t="shared" si="29"/>
        <v>27877.231760979805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>
        <v>2.9000000000000001E-2</v>
      </c>
      <c r="F80" s="191">
        <f t="shared" si="25"/>
        <v>2.9000000000000001E-2</v>
      </c>
      <c r="G80" s="77">
        <v>0.01</v>
      </c>
      <c r="H80" s="77">
        <v>1.2412000000000001</v>
      </c>
      <c r="I80" s="174"/>
      <c r="J80" s="191">
        <f t="shared" si="27"/>
        <v>1.2412000000000001</v>
      </c>
      <c r="K80" s="77">
        <v>0.05</v>
      </c>
      <c r="L80" s="33"/>
      <c r="M80" s="33"/>
      <c r="N80" s="33"/>
      <c r="O80" s="33"/>
      <c r="P80" s="33"/>
      <c r="Q80" s="175">
        <f t="shared" si="29"/>
        <v>1.3302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>
        <v>3.6749999999999998</v>
      </c>
      <c r="F81" s="193">
        <f t="shared" si="25"/>
        <v>3.6749999999999998</v>
      </c>
      <c r="G81" s="78">
        <v>4.7249999999999996</v>
      </c>
      <c r="H81" s="78">
        <v>151.935</v>
      </c>
      <c r="I81" s="179"/>
      <c r="J81" s="193">
        <f t="shared" si="27"/>
        <v>151.935</v>
      </c>
      <c r="K81" s="78">
        <v>9.1349999999999998</v>
      </c>
      <c r="L81" s="54"/>
      <c r="M81" s="54"/>
      <c r="N81" s="54"/>
      <c r="O81" s="54"/>
      <c r="P81" s="54"/>
      <c r="Q81" s="180">
        <f t="shared" si="29"/>
        <v>169.47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5"/>
        <v>0</v>
      </c>
      <c r="G82" s="77"/>
      <c r="H82" s="77"/>
      <c r="I82" s="174"/>
      <c r="J82" s="191">
        <f t="shared" si="27"/>
        <v>0</v>
      </c>
      <c r="K82" s="77"/>
      <c r="L82" s="33"/>
      <c r="M82" s="33"/>
      <c r="N82" s="33"/>
      <c r="O82" s="33"/>
      <c r="P82" s="33"/>
      <c r="Q82" s="175">
        <f t="shared" si="29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5"/>
        <v>0</v>
      </c>
      <c r="G83" s="78"/>
      <c r="H83" s="78"/>
      <c r="I83" s="179"/>
      <c r="J83" s="193">
        <f t="shared" si="27"/>
        <v>0</v>
      </c>
      <c r="K83" s="78"/>
      <c r="L83" s="54"/>
      <c r="M83" s="54"/>
      <c r="N83" s="54"/>
      <c r="O83" s="54"/>
      <c r="P83" s="54"/>
      <c r="Q83" s="180">
        <f t="shared" si="29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5"/>
        <v>0</v>
      </c>
      <c r="G84" s="77"/>
      <c r="H84" s="77"/>
      <c r="I84" s="174"/>
      <c r="J84" s="191">
        <f t="shared" si="27"/>
        <v>0</v>
      </c>
      <c r="K84" s="77"/>
      <c r="L84" s="33"/>
      <c r="M84" s="33"/>
      <c r="N84" s="33"/>
      <c r="O84" s="33"/>
      <c r="P84" s="33"/>
      <c r="Q84" s="175">
        <f t="shared" si="29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5"/>
        <v>0</v>
      </c>
      <c r="G85" s="78"/>
      <c r="H85" s="103"/>
      <c r="I85" s="179"/>
      <c r="J85" s="193">
        <f t="shared" si="27"/>
        <v>0</v>
      </c>
      <c r="K85" s="78"/>
      <c r="L85" s="54"/>
      <c r="M85" s="54"/>
      <c r="N85" s="54"/>
      <c r="O85" s="54"/>
      <c r="P85" s="54"/>
      <c r="Q85" s="180">
        <f t="shared" si="29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2.0920000000000001</v>
      </c>
      <c r="E86" s="52">
        <v>3.7429999999999999</v>
      </c>
      <c r="F86" s="191">
        <f t="shared" si="25"/>
        <v>5.835</v>
      </c>
      <c r="G86" s="77">
        <v>5.4377000000000004</v>
      </c>
      <c r="H86" s="77">
        <v>75.992599999999996</v>
      </c>
      <c r="I86" s="174"/>
      <c r="J86" s="191">
        <f t="shared" si="27"/>
        <v>75.992599999999996</v>
      </c>
      <c r="K86" s="77">
        <v>3.2161</v>
      </c>
      <c r="L86" s="33">
        <v>3.7210000000000001</v>
      </c>
      <c r="M86" s="33"/>
      <c r="N86" s="33">
        <v>9.7727000000000004</v>
      </c>
      <c r="O86" s="33">
        <v>1.3174999999999999</v>
      </c>
      <c r="P86" s="33">
        <v>1.7197</v>
      </c>
      <c r="Q86" s="175">
        <f t="shared" si="29"/>
        <v>107.0123</v>
      </c>
      <c r="R86" s="27"/>
    </row>
    <row r="87" spans="1:18">
      <c r="A87" s="176"/>
      <c r="B87" s="177" t="s">
        <v>63</v>
      </c>
      <c r="C87" s="192" t="s">
        <v>13</v>
      </c>
      <c r="D87" s="53">
        <v>1354.2622089177621</v>
      </c>
      <c r="E87" s="53">
        <v>1967.674</v>
      </c>
      <c r="F87" s="193">
        <f t="shared" si="25"/>
        <v>3321.9362089177621</v>
      </c>
      <c r="G87" s="78">
        <v>2656.6579999999999</v>
      </c>
      <c r="H87" s="78">
        <v>29166.280999999999</v>
      </c>
      <c r="I87" s="179"/>
      <c r="J87" s="193">
        <f t="shared" si="27"/>
        <v>29166.280999999999</v>
      </c>
      <c r="K87" s="78">
        <v>1673.395</v>
      </c>
      <c r="L87" s="54">
        <v>1829.962</v>
      </c>
      <c r="M87" s="54"/>
      <c r="N87" s="54">
        <v>3515.2579999999998</v>
      </c>
      <c r="O87" s="54">
        <v>589.702</v>
      </c>
      <c r="P87" s="54">
        <f>580.89*1.08</f>
        <v>627.36120000000005</v>
      </c>
      <c r="Q87" s="180">
        <f t="shared" si="29"/>
        <v>43380.553408917753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f t="shared" ref="D88:D89" si="30">D78+D80+D82+D84+D86</f>
        <v>2.8616999999999999</v>
      </c>
      <c r="E88" s="33">
        <f t="shared" ref="E88:E89" si="31">+E78+E80+E82+E84+E86</f>
        <v>3.9138999999999999</v>
      </c>
      <c r="F88" s="191">
        <f t="shared" si="25"/>
        <v>6.7755999999999998</v>
      </c>
      <c r="G88" s="49">
        <f t="shared" ref="G88:H89" si="32">+G78+G80+G82+G84+G86</f>
        <v>5.5083000000000002</v>
      </c>
      <c r="H88" s="49">
        <f t="shared" si="32"/>
        <v>103.2734</v>
      </c>
      <c r="I88" s="50"/>
      <c r="J88" s="191">
        <f t="shared" si="27"/>
        <v>103.2734</v>
      </c>
      <c r="K88" s="49">
        <f t="shared" ref="K88:P89" si="33">+K78+K80+K82+K84+K86</f>
        <v>3.9596</v>
      </c>
      <c r="L88" s="33">
        <f t="shared" si="33"/>
        <v>4.0473999999999997</v>
      </c>
      <c r="M88" s="33">
        <f t="shared" si="33"/>
        <v>1.0500000000000001E-2</v>
      </c>
      <c r="N88" s="33">
        <f t="shared" si="33"/>
        <v>15.4275</v>
      </c>
      <c r="O88" s="33">
        <f t="shared" si="33"/>
        <v>1.5564</v>
      </c>
      <c r="P88" s="33">
        <f t="shared" si="33"/>
        <v>1.9145000000000001</v>
      </c>
      <c r="Q88" s="175">
        <f t="shared" si="29"/>
        <v>142.47319999999999</v>
      </c>
      <c r="R88" s="27"/>
    </row>
    <row r="89" spans="1:18">
      <c r="A89" s="183"/>
      <c r="B89" s="309"/>
      <c r="C89" s="192" t="s">
        <v>13</v>
      </c>
      <c r="D89" s="111">
        <f t="shared" si="30"/>
        <v>2955.8215698975696</v>
      </c>
      <c r="E89" s="54">
        <f t="shared" si="31"/>
        <v>2185.951</v>
      </c>
      <c r="F89" s="193">
        <f t="shared" si="25"/>
        <v>5141.7725698975701</v>
      </c>
      <c r="G89" s="68">
        <f t="shared" si="32"/>
        <v>2829.1959999999999</v>
      </c>
      <c r="H89" s="68">
        <f t="shared" si="32"/>
        <v>47125.256999999998</v>
      </c>
      <c r="I89" s="63"/>
      <c r="J89" s="193">
        <f t="shared" si="27"/>
        <v>47125.256999999998</v>
      </c>
      <c r="K89" s="68">
        <f t="shared" si="33"/>
        <v>2392.96</v>
      </c>
      <c r="L89" s="54">
        <f t="shared" si="33"/>
        <v>2333.6709999999998</v>
      </c>
      <c r="M89" s="54">
        <f t="shared" si="33"/>
        <v>8.1539999999999999</v>
      </c>
      <c r="N89" s="54">
        <f t="shared" si="33"/>
        <v>9691.6970000000001</v>
      </c>
      <c r="O89" s="54">
        <f t="shared" si="33"/>
        <v>903.20399999999995</v>
      </c>
      <c r="P89" s="54">
        <f t="shared" si="33"/>
        <v>1001.3436</v>
      </c>
      <c r="Q89" s="180">
        <f t="shared" si="29"/>
        <v>71427.255169897559</v>
      </c>
      <c r="R89" s="27"/>
    </row>
    <row r="90" spans="1:18">
      <c r="A90" s="310" t="s">
        <v>64</v>
      </c>
      <c r="B90" s="311"/>
      <c r="C90" s="32" t="s">
        <v>11</v>
      </c>
      <c r="D90" s="52">
        <v>0.24179999999999999</v>
      </c>
      <c r="E90" s="52">
        <v>7.9799999999999996E-2</v>
      </c>
      <c r="F90" s="191">
        <f t="shared" si="25"/>
        <v>0.3216</v>
      </c>
      <c r="G90" s="77">
        <v>1.5275000000000001</v>
      </c>
      <c r="H90" s="77">
        <v>3.4074</v>
      </c>
      <c r="I90" s="174"/>
      <c r="J90" s="191">
        <f t="shared" si="27"/>
        <v>3.4074</v>
      </c>
      <c r="K90" s="77">
        <v>0.62090000000000001</v>
      </c>
      <c r="L90" s="33">
        <v>3.4358</v>
      </c>
      <c r="M90" s="33"/>
      <c r="N90" s="33">
        <v>4.0000000000000001E-3</v>
      </c>
      <c r="O90" s="33"/>
      <c r="P90" s="33"/>
      <c r="Q90" s="175">
        <f t="shared" si="29"/>
        <v>9.3171999999999997</v>
      </c>
      <c r="R90" s="27"/>
    </row>
    <row r="91" spans="1:18">
      <c r="A91" s="312"/>
      <c r="B91" s="313"/>
      <c r="C91" s="192" t="s">
        <v>13</v>
      </c>
      <c r="D91" s="53">
        <v>386.17965938026595</v>
      </c>
      <c r="E91" s="53">
        <v>71.138000000000005</v>
      </c>
      <c r="F91" s="193">
        <f t="shared" si="25"/>
        <v>457.31765938026592</v>
      </c>
      <c r="G91" s="78">
        <v>2552.3580000000002</v>
      </c>
      <c r="H91" s="78">
        <v>2835.1869999999999</v>
      </c>
      <c r="I91" s="179"/>
      <c r="J91" s="193">
        <f t="shared" si="27"/>
        <v>2835.1869999999999</v>
      </c>
      <c r="K91" s="78">
        <v>620.29399999999998</v>
      </c>
      <c r="L91" s="54">
        <v>4649.4570000000003</v>
      </c>
      <c r="M91" s="54"/>
      <c r="N91" s="54">
        <v>4.41</v>
      </c>
      <c r="O91" s="54"/>
      <c r="P91" s="54"/>
      <c r="Q91" s="180">
        <f t="shared" si="29"/>
        <v>11119.023659380266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25"/>
        <v>0</v>
      </c>
      <c r="G92" s="77">
        <v>0</v>
      </c>
      <c r="H92" s="77">
        <v>24.640999999999998</v>
      </c>
      <c r="I92" s="174"/>
      <c r="J92" s="191">
        <f t="shared" si="27"/>
        <v>24.640999999999998</v>
      </c>
      <c r="K92" s="77"/>
      <c r="L92" s="33">
        <v>0.1</v>
      </c>
      <c r="M92" s="33"/>
      <c r="N92" s="33"/>
      <c r="O92" s="33"/>
      <c r="P92" s="33"/>
      <c r="Q92" s="175">
        <f t="shared" si="29"/>
        <v>24.741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25"/>
        <v>0</v>
      </c>
      <c r="G93" s="78">
        <v>6.8150000000000004</v>
      </c>
      <c r="H93" s="78">
        <v>2408.1750000000002</v>
      </c>
      <c r="I93" s="179"/>
      <c r="J93" s="193">
        <f t="shared" si="27"/>
        <v>2408.1750000000002</v>
      </c>
      <c r="K93" s="78"/>
      <c r="L93" s="54">
        <v>31.5</v>
      </c>
      <c r="M93" s="54"/>
      <c r="N93" s="54"/>
      <c r="O93" s="54"/>
      <c r="P93" s="54"/>
      <c r="Q93" s="180">
        <f t="shared" si="29"/>
        <v>2446.4900000000002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5.7999999999999996E-3</v>
      </c>
      <c r="F94" s="191">
        <f t="shared" si="25"/>
        <v>5.7999999999999996E-3</v>
      </c>
      <c r="G94" s="77">
        <v>2.8E-3</v>
      </c>
      <c r="H94" s="77">
        <v>2.52E-2</v>
      </c>
      <c r="I94" s="174"/>
      <c r="J94" s="191">
        <f t="shared" si="27"/>
        <v>2.52E-2</v>
      </c>
      <c r="K94" s="77"/>
      <c r="L94" s="33"/>
      <c r="M94" s="33"/>
      <c r="N94" s="33"/>
      <c r="O94" s="33"/>
      <c r="P94" s="33"/>
      <c r="Q94" s="175">
        <f t="shared" si="29"/>
        <v>3.3799999999999997E-2</v>
      </c>
      <c r="R94" s="27"/>
    </row>
    <row r="95" spans="1:18">
      <c r="A95" s="312"/>
      <c r="B95" s="313"/>
      <c r="C95" s="192" t="s">
        <v>13</v>
      </c>
      <c r="D95" s="53"/>
      <c r="E95" s="53">
        <v>19.782</v>
      </c>
      <c r="F95" s="193">
        <f t="shared" si="25"/>
        <v>19.782</v>
      </c>
      <c r="G95" s="78">
        <v>6.1319999999999997</v>
      </c>
      <c r="H95" s="78">
        <v>58.716000000000001</v>
      </c>
      <c r="I95" s="179"/>
      <c r="J95" s="193">
        <f t="shared" si="27"/>
        <v>58.716000000000001</v>
      </c>
      <c r="K95" s="78"/>
      <c r="L95" s="54"/>
      <c r="M95" s="54"/>
      <c r="N95" s="54"/>
      <c r="O95" s="54"/>
      <c r="P95" s="54"/>
      <c r="Q95" s="180">
        <f t="shared" si="29"/>
        <v>84.63</v>
      </c>
      <c r="R95" s="27"/>
    </row>
    <row r="96" spans="1:18">
      <c r="A96" s="310" t="s">
        <v>67</v>
      </c>
      <c r="B96" s="311"/>
      <c r="C96" s="32" t="s">
        <v>11</v>
      </c>
      <c r="D96" s="52">
        <v>0.309</v>
      </c>
      <c r="E96" s="52">
        <v>1.4359999999999999</v>
      </c>
      <c r="F96" s="191">
        <f t="shared" si="25"/>
        <v>1.7449999999999999</v>
      </c>
      <c r="G96" s="77">
        <v>4.4600000000000001E-2</v>
      </c>
      <c r="H96" s="77">
        <v>9.3521999999999998</v>
      </c>
      <c r="I96" s="174"/>
      <c r="J96" s="191">
        <f t="shared" si="27"/>
        <v>9.3521999999999998</v>
      </c>
      <c r="K96" s="77">
        <v>0.20300000000000001</v>
      </c>
      <c r="L96" s="33"/>
      <c r="M96" s="33"/>
      <c r="N96" s="33"/>
      <c r="O96" s="33"/>
      <c r="P96" s="33"/>
      <c r="Q96" s="175">
        <f t="shared" si="29"/>
        <v>11.344799999999999</v>
      </c>
      <c r="R96" s="27"/>
    </row>
    <row r="97" spans="1:18">
      <c r="A97" s="312"/>
      <c r="B97" s="313"/>
      <c r="C97" s="192" t="s">
        <v>13</v>
      </c>
      <c r="D97" s="53">
        <v>908.25037484415031</v>
      </c>
      <c r="E97" s="53">
        <v>2204.6129999999998</v>
      </c>
      <c r="F97" s="193">
        <f t="shared" si="25"/>
        <v>3112.8633748441503</v>
      </c>
      <c r="G97" s="78">
        <v>64.036000000000001</v>
      </c>
      <c r="H97" s="78">
        <v>18649.763999999999</v>
      </c>
      <c r="I97" s="179"/>
      <c r="J97" s="193">
        <f t="shared" si="27"/>
        <v>18649.763999999999</v>
      </c>
      <c r="K97" s="78">
        <v>97.125</v>
      </c>
      <c r="L97" s="54"/>
      <c r="M97" s="54"/>
      <c r="N97" s="54"/>
      <c r="O97" s="54"/>
      <c r="P97" s="54"/>
      <c r="Q97" s="180">
        <f t="shared" si="29"/>
        <v>21923.788374844149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25"/>
        <v>0</v>
      </c>
      <c r="G98" s="77"/>
      <c r="H98" s="138">
        <v>0.15959999999999999</v>
      </c>
      <c r="I98" s="174"/>
      <c r="J98" s="191">
        <f t="shared" si="27"/>
        <v>0.15959999999999999</v>
      </c>
      <c r="K98" s="77"/>
      <c r="L98" s="33"/>
      <c r="M98" s="33"/>
      <c r="N98" s="33"/>
      <c r="O98" s="33"/>
      <c r="P98" s="33"/>
      <c r="Q98" s="175">
        <f t="shared" si="29"/>
        <v>0.15959999999999999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25"/>
        <v>0</v>
      </c>
      <c r="G99" s="78"/>
      <c r="H99" s="78">
        <v>53.834000000000003</v>
      </c>
      <c r="I99" s="179"/>
      <c r="J99" s="193">
        <f t="shared" si="27"/>
        <v>53.834000000000003</v>
      </c>
      <c r="K99" s="78"/>
      <c r="L99" s="54"/>
      <c r="M99" s="54"/>
      <c r="N99" s="54"/>
      <c r="O99" s="54"/>
      <c r="P99" s="54"/>
      <c r="Q99" s="180">
        <f t="shared" si="29"/>
        <v>53.834000000000003</v>
      </c>
      <c r="R99" s="27"/>
    </row>
    <row r="100" spans="1:18">
      <c r="A100" s="310" t="s">
        <v>69</v>
      </c>
      <c r="B100" s="311"/>
      <c r="C100" s="32" t="s">
        <v>11</v>
      </c>
      <c r="D100" s="52">
        <v>8.2000000000000007E-3</v>
      </c>
      <c r="E100" s="52"/>
      <c r="F100" s="191">
        <f t="shared" si="25"/>
        <v>8.2000000000000007E-3</v>
      </c>
      <c r="G100" s="77"/>
      <c r="H100" s="77"/>
      <c r="I100" s="174"/>
      <c r="J100" s="191">
        <f t="shared" si="27"/>
        <v>0</v>
      </c>
      <c r="K100" s="77"/>
      <c r="L100" s="33"/>
      <c r="M100" s="33"/>
      <c r="N100" s="33"/>
      <c r="O100" s="33"/>
      <c r="P100" s="33"/>
      <c r="Q100" s="175">
        <f t="shared" si="29"/>
        <v>8.2000000000000007E-3</v>
      </c>
      <c r="R100" s="27"/>
    </row>
    <row r="101" spans="1:18">
      <c r="A101" s="312"/>
      <c r="B101" s="313"/>
      <c r="C101" s="192" t="s">
        <v>13</v>
      </c>
      <c r="D101" s="53">
        <v>3.4440014213743497</v>
      </c>
      <c r="E101" s="53"/>
      <c r="F101" s="193">
        <f t="shared" si="25"/>
        <v>3.4440014213743497</v>
      </c>
      <c r="G101" s="78"/>
      <c r="H101" s="78"/>
      <c r="I101" s="179"/>
      <c r="J101" s="193">
        <f t="shared" si="27"/>
        <v>0</v>
      </c>
      <c r="K101" s="78"/>
      <c r="L101" s="54"/>
      <c r="M101" s="54"/>
      <c r="N101" s="54"/>
      <c r="O101" s="54"/>
      <c r="P101" s="54"/>
      <c r="Q101" s="180">
        <f t="shared" si="29"/>
        <v>3.4440014213743497</v>
      </c>
      <c r="R101" s="27"/>
    </row>
    <row r="102" spans="1:18">
      <c r="A102" s="310" t="s">
        <v>70</v>
      </c>
      <c r="B102" s="311"/>
      <c r="C102" s="32" t="s">
        <v>11</v>
      </c>
      <c r="D102" s="52">
        <v>2.8334000000000001</v>
      </c>
      <c r="E102" s="52">
        <v>14.422700000000001</v>
      </c>
      <c r="F102" s="191">
        <f t="shared" si="25"/>
        <v>17.2561</v>
      </c>
      <c r="G102" s="77">
        <v>8.4871999999999996</v>
      </c>
      <c r="H102" s="77">
        <v>129.52600000000001</v>
      </c>
      <c r="I102" s="174"/>
      <c r="J102" s="191">
        <f t="shared" si="27"/>
        <v>129.52600000000001</v>
      </c>
      <c r="K102" s="77">
        <v>2.5129999999999999</v>
      </c>
      <c r="L102" s="33">
        <v>19.582000000000001</v>
      </c>
      <c r="M102" s="33">
        <v>0.54490000000000005</v>
      </c>
      <c r="N102" s="33">
        <v>9.9948999999999995</v>
      </c>
      <c r="O102" s="33">
        <v>2.4116</v>
      </c>
      <c r="P102" s="33">
        <v>7.4072500000000003</v>
      </c>
      <c r="Q102" s="175">
        <f t="shared" si="29"/>
        <v>197.72295000000003</v>
      </c>
      <c r="R102" s="27"/>
    </row>
    <row r="103" spans="1:18">
      <c r="A103" s="312"/>
      <c r="B103" s="313"/>
      <c r="C103" s="192" t="s">
        <v>13</v>
      </c>
      <c r="D103" s="53">
        <v>6108.23787093178</v>
      </c>
      <c r="E103" s="53">
        <v>6462.8729999999996</v>
      </c>
      <c r="F103" s="193">
        <f t="shared" si="25"/>
        <v>12571.11087093178</v>
      </c>
      <c r="G103" s="78">
        <v>7633.6509999999998</v>
      </c>
      <c r="H103" s="78">
        <v>53917.673000000003</v>
      </c>
      <c r="I103" s="179"/>
      <c r="J103" s="193">
        <f t="shared" si="27"/>
        <v>53917.673000000003</v>
      </c>
      <c r="K103" s="78">
        <v>1005</v>
      </c>
      <c r="L103" s="54">
        <v>2292.0050000000001</v>
      </c>
      <c r="M103" s="54">
        <f>81.554*1.08</f>
        <v>88.078320000000005</v>
      </c>
      <c r="N103" s="54">
        <v>9792.2860000000001</v>
      </c>
      <c r="O103" s="54">
        <v>2079.3150000000001</v>
      </c>
      <c r="P103" s="54">
        <f>9660.615*1.08</f>
        <v>10433.4642</v>
      </c>
      <c r="Q103" s="180">
        <f t="shared" si="29"/>
        <v>99812.583390931788</v>
      </c>
      <c r="R103" s="27"/>
    </row>
    <row r="104" spans="1:18">
      <c r="A104" s="314" t="s">
        <v>71</v>
      </c>
      <c r="B104" s="315"/>
      <c r="C104" s="32" t="s">
        <v>11</v>
      </c>
      <c r="D104" s="110">
        <f t="shared" ref="D104:D105" si="34">D9+D11+D23+D29+D37+D39+D41+D43+D45+D47+D49+D51+D53+D59+D76+D88+D90+D92+D94+D96+D98+D100+D102</f>
        <v>69.2744</v>
      </c>
      <c r="E104" s="33">
        <f t="shared" ref="E104:E105" si="35">+E9+E11+E23+E29+E37+E39+E41+E43+E45+E47+E49+E51+E53+E59+E76+E88+E90+E92+E94+E96+E98+E100+E102</f>
        <v>266.0883</v>
      </c>
      <c r="F104" s="191">
        <f t="shared" si="25"/>
        <v>335.36270000000002</v>
      </c>
      <c r="G104" s="49">
        <f t="shared" ref="G104:H105" si="36">+G9+G11+G23+G29+G37+G39+G41+G43+G45+G47+G49+G51+G53+G59+G76+G88+G90+G92+G94+G96+G98+G100+G102</f>
        <v>1909.9268</v>
      </c>
      <c r="H104" s="49">
        <f t="shared" si="36"/>
        <v>5311.6077000000005</v>
      </c>
      <c r="I104" s="50"/>
      <c r="J104" s="191">
        <f t="shared" si="27"/>
        <v>5311.6077000000005</v>
      </c>
      <c r="K104" s="49">
        <f t="shared" ref="K104:P105" si="37">+K9+K11+K23+K29+K37+K39+K41+K43+K45+K47+K49+K51+K53+K59+K76+K88+K90+K92+K94+K96+K98+K100+K102</f>
        <v>969.67340000000024</v>
      </c>
      <c r="L104" s="33">
        <f t="shared" si="37"/>
        <v>90.239000000000004</v>
      </c>
      <c r="M104" s="33">
        <f t="shared" si="37"/>
        <v>0.56040000000000001</v>
      </c>
      <c r="N104" s="33">
        <f t="shared" si="37"/>
        <v>30.190899999999999</v>
      </c>
      <c r="O104" s="33">
        <f t="shared" si="37"/>
        <v>4.2382</v>
      </c>
      <c r="P104" s="33">
        <f t="shared" si="37"/>
        <v>12.071730000000001</v>
      </c>
      <c r="Q104" s="175">
        <f t="shared" si="29"/>
        <v>8663.8708299999998</v>
      </c>
      <c r="R104" s="27"/>
    </row>
    <row r="105" spans="1:18">
      <c r="A105" s="316"/>
      <c r="B105" s="317"/>
      <c r="C105" s="192" t="s">
        <v>13</v>
      </c>
      <c r="D105" s="111">
        <f t="shared" si="34"/>
        <v>65410.283095487866</v>
      </c>
      <c r="E105" s="54">
        <f t="shared" si="35"/>
        <v>180410.94900000005</v>
      </c>
      <c r="F105" s="193">
        <f t="shared" si="25"/>
        <v>245821.23209548791</v>
      </c>
      <c r="G105" s="68">
        <f t="shared" si="36"/>
        <v>457359.33399999997</v>
      </c>
      <c r="H105" s="68">
        <f t="shared" si="36"/>
        <v>625113.16</v>
      </c>
      <c r="I105" s="63"/>
      <c r="J105" s="193">
        <f t="shared" si="27"/>
        <v>625113.16</v>
      </c>
      <c r="K105" s="68">
        <f t="shared" si="37"/>
        <v>80800.720000000016</v>
      </c>
      <c r="L105" s="54">
        <f t="shared" si="37"/>
        <v>27176.759000000002</v>
      </c>
      <c r="M105" s="54">
        <f t="shared" si="37"/>
        <v>97.852320000000006</v>
      </c>
      <c r="N105" s="54">
        <f t="shared" si="37"/>
        <v>19923.931</v>
      </c>
      <c r="O105" s="54">
        <f t="shared" si="37"/>
        <v>3024.7889999999998</v>
      </c>
      <c r="P105" s="54">
        <f t="shared" si="37"/>
        <v>11796.199560000001</v>
      </c>
      <c r="Q105" s="180">
        <f t="shared" si="29"/>
        <v>1471113.9769754882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25"/>
        <v>0</v>
      </c>
      <c r="G106" s="77">
        <v>6.2E-2</v>
      </c>
      <c r="H106" s="77"/>
      <c r="I106" s="174"/>
      <c r="J106" s="191">
        <f t="shared" si="27"/>
        <v>0</v>
      </c>
      <c r="K106" s="77"/>
      <c r="L106" s="33"/>
      <c r="M106" s="33"/>
      <c r="N106" s="33"/>
      <c r="O106" s="33">
        <v>0</v>
      </c>
      <c r="P106" s="33"/>
      <c r="Q106" s="175">
        <f t="shared" si="29"/>
        <v>6.2E-2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25"/>
        <v>0</v>
      </c>
      <c r="G107" s="78">
        <v>14.321999999999999</v>
      </c>
      <c r="H107" s="78"/>
      <c r="I107" s="179"/>
      <c r="J107" s="193">
        <f t="shared" si="27"/>
        <v>0</v>
      </c>
      <c r="K107" s="78"/>
      <c r="L107" s="54"/>
      <c r="M107" s="54"/>
      <c r="N107" s="54"/>
      <c r="O107" s="54">
        <v>2942.9189999999999</v>
      </c>
      <c r="P107" s="54"/>
      <c r="Q107" s="180">
        <f t="shared" si="29"/>
        <v>2957.241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0.66249999999999998</v>
      </c>
      <c r="E108" s="52">
        <v>0.60570000000000002</v>
      </c>
      <c r="F108" s="191">
        <f t="shared" si="25"/>
        <v>1.2682</v>
      </c>
      <c r="G108" s="77">
        <v>3.1595</v>
      </c>
      <c r="H108" s="77">
        <v>14.140599999999999</v>
      </c>
      <c r="I108" s="174"/>
      <c r="J108" s="191">
        <f t="shared" si="27"/>
        <v>14.140599999999999</v>
      </c>
      <c r="K108" s="77">
        <v>1.9197</v>
      </c>
      <c r="L108" s="33">
        <v>1.2253000000000001</v>
      </c>
      <c r="M108" s="33"/>
      <c r="N108" s="33">
        <v>0.26840000000000003</v>
      </c>
      <c r="O108" s="33">
        <v>0.63100000000000001</v>
      </c>
      <c r="P108" s="33">
        <v>2.4400000000000002E-2</v>
      </c>
      <c r="Q108" s="175">
        <f t="shared" si="29"/>
        <v>22.6371</v>
      </c>
      <c r="R108" s="27"/>
    </row>
    <row r="109" spans="1:18">
      <c r="A109" s="176" t="s">
        <v>0</v>
      </c>
      <c r="B109" s="307"/>
      <c r="C109" s="192" t="s">
        <v>13</v>
      </c>
      <c r="D109" s="53">
        <v>525.7562169849283</v>
      </c>
      <c r="E109" s="53">
        <v>246.87700000000001</v>
      </c>
      <c r="F109" s="193">
        <f t="shared" si="25"/>
        <v>772.63321698492837</v>
      </c>
      <c r="G109" s="78">
        <v>2547.6880000000001</v>
      </c>
      <c r="H109" s="78">
        <v>4611.223</v>
      </c>
      <c r="I109" s="179"/>
      <c r="J109" s="193">
        <f t="shared" si="27"/>
        <v>4611.223</v>
      </c>
      <c r="K109" s="78">
        <v>777.29</v>
      </c>
      <c r="L109" s="54">
        <v>675.5</v>
      </c>
      <c r="M109" s="54"/>
      <c r="N109" s="54">
        <v>115.328</v>
      </c>
      <c r="O109" s="54">
        <v>304.58699999999999</v>
      </c>
      <c r="P109" s="54">
        <f>13.89*1.08</f>
        <v>15.001200000000001</v>
      </c>
      <c r="Q109" s="180">
        <f t="shared" si="29"/>
        <v>9819.2504169849271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0.82589999999999997</v>
      </c>
      <c r="E110" s="52">
        <v>2.1196000000000002</v>
      </c>
      <c r="F110" s="191">
        <f t="shared" si="25"/>
        <v>2.9455</v>
      </c>
      <c r="G110" s="77">
        <v>3.7109999999999999</v>
      </c>
      <c r="H110" s="77">
        <v>156.875</v>
      </c>
      <c r="I110" s="174"/>
      <c r="J110" s="191">
        <f t="shared" si="27"/>
        <v>156.875</v>
      </c>
      <c r="K110" s="77">
        <v>8.7083999999999993</v>
      </c>
      <c r="L110" s="33">
        <v>7.5499999999999998E-2</v>
      </c>
      <c r="M110" s="33"/>
      <c r="N110" s="33">
        <v>1.6E-2</v>
      </c>
      <c r="O110" s="33"/>
      <c r="P110" s="33"/>
      <c r="Q110" s="175">
        <f t="shared" si="29"/>
        <v>172.3314</v>
      </c>
      <c r="R110" s="27"/>
    </row>
    <row r="111" spans="1:18">
      <c r="A111" s="176"/>
      <c r="B111" s="307"/>
      <c r="C111" s="192" t="s">
        <v>13</v>
      </c>
      <c r="D111" s="53">
        <v>358.58879799323728</v>
      </c>
      <c r="E111" s="53">
        <v>1319.5239999999999</v>
      </c>
      <c r="F111" s="193">
        <f t="shared" si="25"/>
        <v>1678.1127979932371</v>
      </c>
      <c r="G111" s="78">
        <v>1321.451</v>
      </c>
      <c r="H111" s="78">
        <v>59199.294000000002</v>
      </c>
      <c r="I111" s="179"/>
      <c r="J111" s="193">
        <f t="shared" si="27"/>
        <v>59199.294000000002</v>
      </c>
      <c r="K111" s="78">
        <v>1680.7719999999999</v>
      </c>
      <c r="L111" s="54">
        <v>23.757000000000001</v>
      </c>
      <c r="M111" s="54"/>
      <c r="N111" s="54">
        <v>2.52</v>
      </c>
      <c r="O111" s="54"/>
      <c r="P111" s="54"/>
      <c r="Q111" s="180">
        <f t="shared" si="29"/>
        <v>63905.90679799323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3.6400000000000002E-2</v>
      </c>
      <c r="F112" s="191">
        <f t="shared" si="25"/>
        <v>3.6400000000000002E-2</v>
      </c>
      <c r="G112" s="77">
        <v>0</v>
      </c>
      <c r="H112" s="77">
        <v>0.1163</v>
      </c>
      <c r="I112" s="174"/>
      <c r="J112" s="191">
        <f t="shared" si="27"/>
        <v>0.1163</v>
      </c>
      <c r="K112" s="77"/>
      <c r="L112" s="33"/>
      <c r="M112" s="33"/>
      <c r="N112" s="33"/>
      <c r="O112" s="33"/>
      <c r="P112" s="33"/>
      <c r="Q112" s="175">
        <f t="shared" si="29"/>
        <v>0.1527</v>
      </c>
      <c r="R112" s="27"/>
    </row>
    <row r="113" spans="1:18">
      <c r="A113" s="176"/>
      <c r="B113" s="307"/>
      <c r="C113" s="192" t="s">
        <v>13</v>
      </c>
      <c r="D113" s="53"/>
      <c r="E113" s="53">
        <v>285.13900000000001</v>
      </c>
      <c r="F113" s="193">
        <f t="shared" si="25"/>
        <v>285.13900000000001</v>
      </c>
      <c r="G113" s="78">
        <v>6.6150000000000002</v>
      </c>
      <c r="H113" s="78">
        <v>559.42999999999995</v>
      </c>
      <c r="I113" s="179"/>
      <c r="J113" s="193">
        <f t="shared" si="27"/>
        <v>559.42999999999995</v>
      </c>
      <c r="K113" s="78"/>
      <c r="L113" s="54"/>
      <c r="M113" s="54"/>
      <c r="N113" s="54"/>
      <c r="O113" s="54"/>
      <c r="P113" s="54"/>
      <c r="Q113" s="180">
        <f t="shared" si="29"/>
        <v>851.18399999999997</v>
      </c>
      <c r="R113" s="27"/>
    </row>
    <row r="114" spans="1:18">
      <c r="A114" s="176"/>
      <c r="B114" s="306" t="s">
        <v>78</v>
      </c>
      <c r="C114" s="32" t="s">
        <v>11</v>
      </c>
      <c r="D114" s="52">
        <v>0.48909999999999998</v>
      </c>
      <c r="E114" s="52">
        <v>3.6200000000000003E-2</v>
      </c>
      <c r="F114" s="191">
        <f t="shared" si="25"/>
        <v>0.52529999999999999</v>
      </c>
      <c r="G114" s="77">
        <v>1.7911999999999999</v>
      </c>
      <c r="H114" s="138">
        <v>2.2787999999999999</v>
      </c>
      <c r="I114" s="174"/>
      <c r="J114" s="191">
        <f t="shared" si="27"/>
        <v>2.2787999999999999</v>
      </c>
      <c r="K114" s="77">
        <v>0.1255</v>
      </c>
      <c r="L114" s="33">
        <v>0.3</v>
      </c>
      <c r="M114" s="33">
        <v>3.3000000000000002E-2</v>
      </c>
      <c r="N114" s="33">
        <v>3.1099999999999999E-2</v>
      </c>
      <c r="O114" s="33">
        <v>2.1000000000000001E-2</v>
      </c>
      <c r="P114" s="33">
        <v>6.13E-2</v>
      </c>
      <c r="Q114" s="175">
        <f t="shared" si="29"/>
        <v>5.1672000000000002</v>
      </c>
      <c r="R114" s="27"/>
    </row>
    <row r="115" spans="1:18">
      <c r="A115" s="176"/>
      <c r="B115" s="307"/>
      <c r="C115" s="192" t="s">
        <v>13</v>
      </c>
      <c r="D115" s="53">
        <v>647.93426740904999</v>
      </c>
      <c r="E115" s="53">
        <v>69.405000000000001</v>
      </c>
      <c r="F115" s="193">
        <f t="shared" si="25"/>
        <v>717.33926740904997</v>
      </c>
      <c r="G115" s="78">
        <v>1667.2180000000001</v>
      </c>
      <c r="H115" s="78">
        <v>2579.9140000000002</v>
      </c>
      <c r="I115" s="179"/>
      <c r="J115" s="193">
        <f t="shared" si="27"/>
        <v>2579.9140000000002</v>
      </c>
      <c r="K115" s="78">
        <v>72.158000000000001</v>
      </c>
      <c r="L115" s="54">
        <v>120.407</v>
      </c>
      <c r="M115" s="54">
        <f>8.155*1.08</f>
        <v>8.8073999999999995</v>
      </c>
      <c r="N115" s="54">
        <v>8.8170000000000002</v>
      </c>
      <c r="O115" s="54">
        <v>4.41</v>
      </c>
      <c r="P115" s="54">
        <f>21.08*1.08</f>
        <v>22.766400000000001</v>
      </c>
      <c r="Q115" s="180">
        <f t="shared" si="29"/>
        <v>5201.8370674090502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5"/>
        <v>0</v>
      </c>
      <c r="G116" s="77"/>
      <c r="H116" s="77"/>
      <c r="I116" s="174"/>
      <c r="J116" s="191">
        <f t="shared" si="27"/>
        <v>0</v>
      </c>
      <c r="K116" s="77">
        <v>38.1</v>
      </c>
      <c r="L116" s="33"/>
      <c r="M116" s="33"/>
      <c r="N116" s="33"/>
      <c r="O116" s="33"/>
      <c r="P116" s="33"/>
      <c r="Q116" s="175">
        <f t="shared" si="29"/>
        <v>38.1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5"/>
        <v>0</v>
      </c>
      <c r="G117" s="78"/>
      <c r="H117" s="78"/>
      <c r="I117" s="179"/>
      <c r="J117" s="193">
        <f t="shared" si="27"/>
        <v>0</v>
      </c>
      <c r="K117" s="78">
        <v>1420.1780000000001</v>
      </c>
      <c r="L117" s="54"/>
      <c r="M117" s="54"/>
      <c r="N117" s="54"/>
      <c r="O117" s="54"/>
      <c r="P117" s="54"/>
      <c r="Q117" s="180">
        <f t="shared" si="29"/>
        <v>1420.1780000000001</v>
      </c>
      <c r="R117" s="27"/>
    </row>
    <row r="118" spans="1:18">
      <c r="A118" s="176"/>
      <c r="B118" s="306" t="s">
        <v>81</v>
      </c>
      <c r="C118" s="32" t="s">
        <v>11</v>
      </c>
      <c r="D118" s="52"/>
      <c r="E118" s="52"/>
      <c r="F118" s="191">
        <f t="shared" si="25"/>
        <v>0</v>
      </c>
      <c r="G118" s="77">
        <v>0.16170000000000001</v>
      </c>
      <c r="H118" s="77">
        <v>4.5755999999999997</v>
      </c>
      <c r="I118" s="174"/>
      <c r="J118" s="191">
        <f t="shared" si="27"/>
        <v>4.5755999999999997</v>
      </c>
      <c r="K118" s="77">
        <v>1.9E-2</v>
      </c>
      <c r="L118" s="33"/>
      <c r="M118" s="33"/>
      <c r="N118" s="33"/>
      <c r="O118" s="33"/>
      <c r="P118" s="33">
        <v>8.0000000000000002E-3</v>
      </c>
      <c r="Q118" s="175">
        <f t="shared" si="29"/>
        <v>4.7642999999999995</v>
      </c>
      <c r="R118" s="27"/>
    </row>
    <row r="119" spans="1:18">
      <c r="A119" s="176"/>
      <c r="B119" s="307"/>
      <c r="C119" s="192" t="s">
        <v>13</v>
      </c>
      <c r="D119" s="53"/>
      <c r="E119" s="53"/>
      <c r="F119" s="193">
        <f t="shared" si="25"/>
        <v>0</v>
      </c>
      <c r="G119" s="78">
        <v>160.71799999999999</v>
      </c>
      <c r="H119" s="78">
        <v>8385.3610000000008</v>
      </c>
      <c r="I119" s="179"/>
      <c r="J119" s="193">
        <f t="shared" si="27"/>
        <v>8385.3610000000008</v>
      </c>
      <c r="K119" s="78">
        <v>15.96</v>
      </c>
      <c r="L119" s="54"/>
      <c r="M119" s="54"/>
      <c r="N119" s="54"/>
      <c r="O119" s="54"/>
      <c r="P119" s="54">
        <f>15.232*1.08</f>
        <v>16.450559999999999</v>
      </c>
      <c r="Q119" s="180">
        <f t="shared" si="29"/>
        <v>8578.48956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0.48259999999999997</v>
      </c>
      <c r="E120" s="52">
        <v>0.36</v>
      </c>
      <c r="F120" s="191">
        <f t="shared" si="25"/>
        <v>0.84260000000000002</v>
      </c>
      <c r="G120" s="77">
        <v>0</v>
      </c>
      <c r="H120" s="77">
        <v>0.65839999999999999</v>
      </c>
      <c r="I120" s="174"/>
      <c r="J120" s="191">
        <f t="shared" si="27"/>
        <v>0.65839999999999999</v>
      </c>
      <c r="K120" s="77">
        <v>0.39</v>
      </c>
      <c r="L120" s="33"/>
      <c r="M120" s="33"/>
      <c r="N120" s="33"/>
      <c r="O120" s="33"/>
      <c r="P120" s="33"/>
      <c r="Q120" s="175">
        <f t="shared" si="29"/>
        <v>1.891</v>
      </c>
      <c r="R120" s="27"/>
    </row>
    <row r="121" spans="1:18">
      <c r="A121" s="176"/>
      <c r="B121" s="307"/>
      <c r="C121" s="192" t="s">
        <v>13</v>
      </c>
      <c r="D121" s="53">
        <v>202.69208365308066</v>
      </c>
      <c r="E121" s="53">
        <v>151.19999999999999</v>
      </c>
      <c r="F121" s="193">
        <f t="shared" si="25"/>
        <v>353.89208365308065</v>
      </c>
      <c r="G121" s="78">
        <v>15.12</v>
      </c>
      <c r="H121" s="78">
        <v>948.28599999999994</v>
      </c>
      <c r="I121" s="179"/>
      <c r="J121" s="193">
        <f t="shared" si="27"/>
        <v>948.28599999999994</v>
      </c>
      <c r="K121" s="78">
        <v>27.3</v>
      </c>
      <c r="L121" s="54"/>
      <c r="M121" s="54"/>
      <c r="N121" s="54"/>
      <c r="O121" s="54"/>
      <c r="P121" s="54"/>
      <c r="Q121" s="180">
        <f t="shared" si="29"/>
        <v>1344.5980836530805</v>
      </c>
      <c r="R121" s="27"/>
    </row>
    <row r="122" spans="1:18">
      <c r="A122" s="176"/>
      <c r="B122" s="306" t="s">
        <v>84</v>
      </c>
      <c r="C122" s="32" t="s">
        <v>11</v>
      </c>
      <c r="D122" s="52">
        <v>4.7946</v>
      </c>
      <c r="E122" s="52">
        <v>0.5554</v>
      </c>
      <c r="F122" s="191">
        <f t="shared" si="25"/>
        <v>5.35</v>
      </c>
      <c r="G122" s="77">
        <v>5.7200000000000001E-2</v>
      </c>
      <c r="H122" s="77">
        <v>2.4142000000000001</v>
      </c>
      <c r="I122" s="174"/>
      <c r="J122" s="191">
        <f t="shared" si="27"/>
        <v>2.4142000000000001</v>
      </c>
      <c r="K122" s="77">
        <v>7.0000000000000007E-2</v>
      </c>
      <c r="L122" s="33">
        <v>1.206</v>
      </c>
      <c r="M122" s="33">
        <v>6.5271999999999997</v>
      </c>
      <c r="N122" s="33">
        <v>2.8885999999999998</v>
      </c>
      <c r="O122" s="33"/>
      <c r="P122" s="33"/>
      <c r="Q122" s="175">
        <f t="shared" si="29"/>
        <v>18.513200000000001</v>
      </c>
      <c r="R122" s="27"/>
    </row>
    <row r="123" spans="1:18">
      <c r="A123" s="176"/>
      <c r="B123" s="307"/>
      <c r="C123" s="192" t="s">
        <v>13</v>
      </c>
      <c r="D123" s="53">
        <v>2497.930030921083</v>
      </c>
      <c r="E123" s="53">
        <v>197.154</v>
      </c>
      <c r="F123" s="193">
        <f t="shared" si="25"/>
        <v>2695.084030921083</v>
      </c>
      <c r="G123" s="78">
        <v>135.44200000000001</v>
      </c>
      <c r="H123" s="78">
        <v>1609.634</v>
      </c>
      <c r="I123" s="179"/>
      <c r="J123" s="193">
        <f t="shared" si="27"/>
        <v>1609.634</v>
      </c>
      <c r="K123" s="78">
        <v>47.781999999999996</v>
      </c>
      <c r="L123" s="54">
        <v>945</v>
      </c>
      <c r="M123" s="54">
        <f>10757.824*1.08</f>
        <v>11618.449920000001</v>
      </c>
      <c r="N123" s="54">
        <v>2484.3809999999999</v>
      </c>
      <c r="O123" s="54"/>
      <c r="P123" s="54"/>
      <c r="Q123" s="180">
        <f t="shared" si="29"/>
        <v>19535.772950921084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1.8747</v>
      </c>
      <c r="E124" s="52">
        <v>0.73229999999999995</v>
      </c>
      <c r="F124" s="191">
        <f t="shared" si="25"/>
        <v>2.6070000000000002</v>
      </c>
      <c r="G124" s="77">
        <v>1.1124000000000001</v>
      </c>
      <c r="H124" s="77">
        <v>1.7599</v>
      </c>
      <c r="I124" s="174"/>
      <c r="J124" s="191">
        <f t="shared" si="27"/>
        <v>1.7599</v>
      </c>
      <c r="K124" s="77">
        <v>0.30969999999999998</v>
      </c>
      <c r="L124" s="33">
        <v>0.17169999999999999</v>
      </c>
      <c r="M124" s="33">
        <v>0.31069999999999998</v>
      </c>
      <c r="N124" s="33">
        <v>1.55E-2</v>
      </c>
      <c r="O124" s="33">
        <v>1.7999999999999999E-2</v>
      </c>
      <c r="P124" s="33">
        <v>0.62209999999999999</v>
      </c>
      <c r="Q124" s="175">
        <f t="shared" si="29"/>
        <v>6.9270000000000005</v>
      </c>
      <c r="R124" s="27"/>
    </row>
    <row r="125" spans="1:18">
      <c r="A125" s="27"/>
      <c r="B125" s="307"/>
      <c r="C125" s="192" t="s">
        <v>13</v>
      </c>
      <c r="D125" s="114">
        <v>2208.9384116513074</v>
      </c>
      <c r="E125" s="53">
        <v>292.96199999999999</v>
      </c>
      <c r="F125" s="193">
        <f t="shared" si="25"/>
        <v>2501.9004116513074</v>
      </c>
      <c r="G125" s="78">
        <v>342.59100000000001</v>
      </c>
      <c r="H125" s="78">
        <v>3264.674</v>
      </c>
      <c r="I125" s="179"/>
      <c r="J125" s="193">
        <f t="shared" si="27"/>
        <v>3264.674</v>
      </c>
      <c r="K125" s="78">
        <v>178.155</v>
      </c>
      <c r="L125" s="54">
        <v>163.08500000000001</v>
      </c>
      <c r="M125" s="54">
        <f>119.825*1.08</f>
        <v>129.411</v>
      </c>
      <c r="N125" s="54">
        <v>2.93</v>
      </c>
      <c r="O125" s="54">
        <v>1.89</v>
      </c>
      <c r="P125" s="54">
        <f>854.73*1.08</f>
        <v>923.10840000000007</v>
      </c>
      <c r="Q125" s="180">
        <f t="shared" si="29"/>
        <v>7507.7448116513078</v>
      </c>
      <c r="R125" s="27"/>
    </row>
    <row r="126" spans="1:18">
      <c r="A126" s="27"/>
      <c r="B126" s="46" t="s">
        <v>15</v>
      </c>
      <c r="C126" s="32" t="s">
        <v>11</v>
      </c>
      <c r="D126" s="52">
        <v>4.4999999999999997E-3</v>
      </c>
      <c r="E126" s="52">
        <v>1.4999999999999999E-2</v>
      </c>
      <c r="F126" s="191">
        <f t="shared" si="25"/>
        <v>1.95E-2</v>
      </c>
      <c r="G126" s="77"/>
      <c r="H126" s="77">
        <v>0.70569999999999999</v>
      </c>
      <c r="I126" s="174"/>
      <c r="J126" s="191">
        <f t="shared" si="27"/>
        <v>0.70569999999999999</v>
      </c>
      <c r="K126" s="77"/>
      <c r="L126" s="33"/>
      <c r="M126" s="33"/>
      <c r="N126" s="33"/>
      <c r="O126" s="33"/>
      <c r="P126" s="33"/>
      <c r="Q126" s="175">
        <f t="shared" si="29"/>
        <v>0.72519999999999996</v>
      </c>
      <c r="R126" s="27"/>
    </row>
    <row r="127" spans="1:18">
      <c r="A127" s="27"/>
      <c r="B127" s="177" t="s">
        <v>86</v>
      </c>
      <c r="C127" s="192" t="s">
        <v>13</v>
      </c>
      <c r="D127" s="53">
        <v>28.350011700337639</v>
      </c>
      <c r="E127" s="53">
        <v>8.9250000000000007</v>
      </c>
      <c r="F127" s="193">
        <f t="shared" si="25"/>
        <v>37.275011700337643</v>
      </c>
      <c r="G127" s="78"/>
      <c r="H127" s="78">
        <v>612.57000000000005</v>
      </c>
      <c r="I127" s="179"/>
      <c r="J127" s="193">
        <f t="shared" si="27"/>
        <v>612.57000000000005</v>
      </c>
      <c r="K127" s="78"/>
      <c r="L127" s="54"/>
      <c r="M127" s="54"/>
      <c r="N127" s="54"/>
      <c r="O127" s="54"/>
      <c r="P127" s="54"/>
      <c r="Q127" s="180">
        <f t="shared" si="29"/>
        <v>649.84501170033764</v>
      </c>
      <c r="R127" s="27"/>
    </row>
    <row r="128" spans="1:18">
      <c r="A128" s="27"/>
      <c r="B128" s="308" t="s">
        <v>19</v>
      </c>
      <c r="C128" s="32" t="s">
        <v>11</v>
      </c>
      <c r="D128" s="110">
        <f t="shared" ref="D128:D129" si="38">D106+D108+D110+D112+D114+D116+D118+D120+D122+D124+D126</f>
        <v>9.1339000000000006</v>
      </c>
      <c r="E128" s="33">
        <f t="shared" ref="E128:E129" si="39">+E106+E108+E110+E112+E114+E116+E118+E120+E122+E124+E126</f>
        <v>4.4606000000000003</v>
      </c>
      <c r="F128" s="191">
        <f t="shared" si="25"/>
        <v>13.5945</v>
      </c>
      <c r="G128" s="49">
        <f t="shared" ref="G128:H129" si="40">+G106+G108+G110+G112+G114+G116+G118+G120+G122+G124+G126</f>
        <v>10.055</v>
      </c>
      <c r="H128" s="49">
        <f t="shared" si="40"/>
        <v>183.52449999999999</v>
      </c>
      <c r="I128" s="50"/>
      <c r="J128" s="191">
        <f t="shared" si="27"/>
        <v>183.52449999999999</v>
      </c>
      <c r="K128" s="49">
        <f t="shared" ref="K128:P129" si="41">+K106+K108+K110+K112+K114+K116+K118+K120+K122+K124+K126</f>
        <v>49.642299999999999</v>
      </c>
      <c r="L128" s="33">
        <f t="shared" si="41"/>
        <v>2.9784999999999999</v>
      </c>
      <c r="M128" s="33">
        <f t="shared" si="41"/>
        <v>6.8708999999999998</v>
      </c>
      <c r="N128" s="33">
        <f t="shared" si="41"/>
        <v>3.2195999999999998</v>
      </c>
      <c r="O128" s="33">
        <f t="shared" si="41"/>
        <v>0.67</v>
      </c>
      <c r="P128" s="33">
        <f t="shared" si="41"/>
        <v>0.71579999999999999</v>
      </c>
      <c r="Q128" s="175">
        <f t="shared" si="29"/>
        <v>271.27109999999999</v>
      </c>
      <c r="R128" s="27"/>
    </row>
    <row r="129" spans="1:18">
      <c r="A129" s="183"/>
      <c r="B129" s="309"/>
      <c r="C129" s="192" t="s">
        <v>13</v>
      </c>
      <c r="D129" s="111">
        <f t="shared" si="38"/>
        <v>6470.189820313024</v>
      </c>
      <c r="E129" s="54">
        <f t="shared" si="39"/>
        <v>2571.1860000000001</v>
      </c>
      <c r="F129" s="193">
        <f t="shared" si="25"/>
        <v>9041.3758203130237</v>
      </c>
      <c r="G129" s="68">
        <f t="shared" si="40"/>
        <v>6211.165</v>
      </c>
      <c r="H129" s="68">
        <f t="shared" si="40"/>
        <v>81770.386000000013</v>
      </c>
      <c r="I129" s="63"/>
      <c r="J129" s="193">
        <f t="shared" si="27"/>
        <v>81770.386000000013</v>
      </c>
      <c r="K129" s="68">
        <f t="shared" si="41"/>
        <v>4219.5950000000003</v>
      </c>
      <c r="L129" s="54">
        <f t="shared" si="41"/>
        <v>1927.749</v>
      </c>
      <c r="M129" s="54">
        <f t="shared" si="41"/>
        <v>11756.668320000001</v>
      </c>
      <c r="N129" s="54">
        <f t="shared" si="41"/>
        <v>2613.9759999999997</v>
      </c>
      <c r="O129" s="54">
        <f t="shared" si="41"/>
        <v>3253.8059999999996</v>
      </c>
      <c r="P129" s="54">
        <f t="shared" si="41"/>
        <v>977.32656000000009</v>
      </c>
      <c r="Q129" s="180">
        <f t="shared" si="29"/>
        <v>121772.04770031302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5"/>
        <v>0</v>
      </c>
      <c r="G130" s="77"/>
      <c r="H130" s="77"/>
      <c r="I130" s="174"/>
      <c r="J130" s="191">
        <f t="shared" si="27"/>
        <v>0</v>
      </c>
      <c r="K130" s="77"/>
      <c r="L130" s="33">
        <v>0.01</v>
      </c>
      <c r="M130" s="33"/>
      <c r="N130" s="33"/>
      <c r="O130" s="33"/>
      <c r="P130" s="33"/>
      <c r="Q130" s="175">
        <f t="shared" si="29"/>
        <v>0.01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5"/>
        <v>0</v>
      </c>
      <c r="G131" s="78"/>
      <c r="H131" s="78"/>
      <c r="I131" s="179"/>
      <c r="J131" s="193">
        <f t="shared" si="27"/>
        <v>0</v>
      </c>
      <c r="K131" s="78"/>
      <c r="L131" s="54">
        <v>2.52</v>
      </c>
      <c r="M131" s="54"/>
      <c r="N131" s="54"/>
      <c r="O131" s="54"/>
      <c r="P131" s="54"/>
      <c r="Q131" s="180">
        <f t="shared" si="29"/>
        <v>2.52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>
        <v>0.1</v>
      </c>
      <c r="E132" s="52"/>
      <c r="F132" s="191">
        <f t="shared" si="25"/>
        <v>0.1</v>
      </c>
      <c r="G132" s="77">
        <v>41.761499999999998</v>
      </c>
      <c r="H132" s="77"/>
      <c r="I132" s="174"/>
      <c r="J132" s="191">
        <f t="shared" si="27"/>
        <v>0</v>
      </c>
      <c r="K132" s="77"/>
      <c r="L132" s="33"/>
      <c r="M132" s="33"/>
      <c r="N132" s="33"/>
      <c r="O132" s="33"/>
      <c r="P132" s="33"/>
      <c r="Q132" s="175">
        <f t="shared" si="29"/>
        <v>41.861499999999999</v>
      </c>
      <c r="R132" s="27"/>
    </row>
    <row r="133" spans="1:18">
      <c r="A133" s="176"/>
      <c r="B133" s="307"/>
      <c r="C133" s="192" t="s">
        <v>13</v>
      </c>
      <c r="D133" s="53">
        <v>9.24000381344338</v>
      </c>
      <c r="E133" s="53"/>
      <c r="F133" s="193">
        <f t="shared" si="25"/>
        <v>9.24000381344338</v>
      </c>
      <c r="G133" s="78">
        <v>7543.7650000000003</v>
      </c>
      <c r="H133" s="78"/>
      <c r="I133" s="179"/>
      <c r="J133" s="193">
        <f t="shared" si="27"/>
        <v>0</v>
      </c>
      <c r="K133" s="78"/>
      <c r="L133" s="54"/>
      <c r="M133" s="54"/>
      <c r="N133" s="54"/>
      <c r="O133" s="54"/>
      <c r="P133" s="54"/>
      <c r="Q133" s="197">
        <f t="shared" si="29"/>
        <v>7553.0050038134441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>
        <v>0.44979999999999998</v>
      </c>
      <c r="E134" s="115">
        <v>0.41749999999999998</v>
      </c>
      <c r="F134" s="199">
        <f t="shared" ref="F134:F142" si="42">SUM(D134:E134)</f>
        <v>0.86729999999999996</v>
      </c>
      <c r="G134" s="139">
        <v>0.86880000000000002</v>
      </c>
      <c r="H134" s="139">
        <v>5.4852999999999996</v>
      </c>
      <c r="I134" s="200"/>
      <c r="J134" s="199">
        <f t="shared" ref="J134:J142" si="43">SUM(H134:I134)</f>
        <v>5.4852999999999996</v>
      </c>
      <c r="K134" s="139">
        <v>1.6400000000000001E-2</v>
      </c>
      <c r="L134" s="93">
        <v>67.118700000000004</v>
      </c>
      <c r="M134" s="93"/>
      <c r="N134" s="93"/>
      <c r="O134" s="93"/>
      <c r="P134" s="93"/>
      <c r="Q134" s="175">
        <f t="shared" si="29"/>
        <v>74.356499999999997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42"/>
        <v>0</v>
      </c>
      <c r="G135" s="77"/>
      <c r="H135" s="77"/>
      <c r="I135" s="174"/>
      <c r="J135" s="201">
        <f t="shared" si="43"/>
        <v>0</v>
      </c>
      <c r="K135" s="77"/>
      <c r="L135" s="98"/>
      <c r="M135" s="159"/>
      <c r="N135" s="161"/>
      <c r="O135" s="33"/>
      <c r="P135" s="161"/>
      <c r="Q135" s="175">
        <f t="shared" si="29"/>
        <v>0</v>
      </c>
      <c r="R135" s="27"/>
    </row>
    <row r="136" spans="1:18">
      <c r="A136" s="176" t="s">
        <v>18</v>
      </c>
      <c r="B136" s="54"/>
      <c r="C136" s="192" t="s">
        <v>13</v>
      </c>
      <c r="D136" s="53">
        <v>194.77508038565304</v>
      </c>
      <c r="E136" s="53">
        <v>202.517</v>
      </c>
      <c r="F136" s="202">
        <f t="shared" si="42"/>
        <v>397.29208038565304</v>
      </c>
      <c r="G136" s="78">
        <v>1458.249</v>
      </c>
      <c r="H136" s="103">
        <v>2656.8530000000001</v>
      </c>
      <c r="I136" s="179"/>
      <c r="J136" s="202">
        <f t="shared" si="43"/>
        <v>2656.8530000000001</v>
      </c>
      <c r="K136" s="103">
        <v>16.172999999999998</v>
      </c>
      <c r="L136" s="68">
        <v>8355.6260000000002</v>
      </c>
      <c r="M136" s="92"/>
      <c r="N136" s="54"/>
      <c r="O136" s="54"/>
      <c r="P136" s="54"/>
      <c r="Q136" s="197">
        <f t="shared" si="29"/>
        <v>12884.193080385652</v>
      </c>
      <c r="R136" s="27"/>
    </row>
    <row r="137" spans="1:18">
      <c r="A137" s="27"/>
      <c r="B137" s="212" t="s">
        <v>0</v>
      </c>
      <c r="C137" s="29" t="s">
        <v>11</v>
      </c>
      <c r="D137" s="30">
        <f>+D130+D132+D134</f>
        <v>0.54979999999999996</v>
      </c>
      <c r="E137" s="33">
        <f>+E130+E132+E134</f>
        <v>0.41749999999999998</v>
      </c>
      <c r="F137" s="199">
        <f t="shared" si="42"/>
        <v>0.96729999999999994</v>
      </c>
      <c r="G137" s="49">
        <f t="shared" ref="G137" si="44">G130+G132+G134</f>
        <v>42.630299999999998</v>
      </c>
      <c r="H137" s="49">
        <f>H130+H132+H134</f>
        <v>5.4852999999999996</v>
      </c>
      <c r="I137" s="47"/>
      <c r="J137" s="199">
        <f t="shared" si="43"/>
        <v>5.4852999999999996</v>
      </c>
      <c r="K137" s="49">
        <f>+K130+K132+K134</f>
        <v>1.6400000000000001E-2</v>
      </c>
      <c r="L137" s="33">
        <f t="shared" ref="L137" si="45">+L130+L132+L134</f>
        <v>67.128700000000009</v>
      </c>
      <c r="M137" s="97"/>
      <c r="N137" s="93"/>
      <c r="O137" s="93"/>
      <c r="P137" s="93"/>
      <c r="Q137" s="175">
        <f t="shared" si="29"/>
        <v>116.22800000000001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42"/>
        <v>0</v>
      </c>
      <c r="G138" s="98"/>
      <c r="H138" s="49"/>
      <c r="I138" s="50"/>
      <c r="J138" s="201">
        <f t="shared" si="43"/>
        <v>0</v>
      </c>
      <c r="K138" s="49"/>
      <c r="L138" s="33"/>
      <c r="M138" s="69"/>
      <c r="N138" s="33"/>
      <c r="O138" s="33"/>
      <c r="P138" s="33"/>
      <c r="Q138" s="175">
        <f t="shared" si="29"/>
        <v>0</v>
      </c>
      <c r="R138" s="27"/>
    </row>
    <row r="139" spans="1:18">
      <c r="A139" s="183"/>
      <c r="B139" s="54"/>
      <c r="C139" s="192" t="s">
        <v>13</v>
      </c>
      <c r="D139" s="54">
        <f>+D131+D133+D136</f>
        <v>204.01508419909641</v>
      </c>
      <c r="E139" s="54">
        <f>+E131+E133+E136</f>
        <v>202.517</v>
      </c>
      <c r="F139" s="202">
        <f t="shared" si="42"/>
        <v>406.5320841990964</v>
      </c>
      <c r="G139" s="68">
        <f t="shared" ref="G139" si="46">G131+G133+G136</f>
        <v>9002.014000000001</v>
      </c>
      <c r="H139" s="68">
        <f t="shared" ref="H139" si="47">+H131+H133+H136</f>
        <v>2656.8530000000001</v>
      </c>
      <c r="I139" s="63"/>
      <c r="J139" s="202">
        <f t="shared" si="43"/>
        <v>2656.8530000000001</v>
      </c>
      <c r="K139" s="68">
        <f>+K131+K133+K136</f>
        <v>16.172999999999998</v>
      </c>
      <c r="L139" s="54">
        <f t="shared" ref="L139" si="48">+L131+L133+L136</f>
        <v>8358.1460000000006</v>
      </c>
      <c r="M139" s="70"/>
      <c r="N139" s="54"/>
      <c r="O139" s="54"/>
      <c r="P139" s="54"/>
      <c r="Q139" s="197">
        <f t="shared" si="29"/>
        <v>20439.718084199099</v>
      </c>
      <c r="R139" s="27"/>
    </row>
    <row r="140" spans="1:18">
      <c r="A140" s="27"/>
      <c r="B140" s="28" t="s">
        <v>0</v>
      </c>
      <c r="C140" s="29" t="s">
        <v>11</v>
      </c>
      <c r="D140" s="125">
        <f t="shared" ref="D140:E140" si="49">D137+D128+D104</f>
        <v>78.958100000000002</v>
      </c>
      <c r="E140" s="127">
        <f t="shared" si="49"/>
        <v>270.96640000000002</v>
      </c>
      <c r="F140" s="199">
        <f t="shared" si="42"/>
        <v>349.92450000000002</v>
      </c>
      <c r="G140" s="147">
        <f t="shared" ref="G140:H140" si="50">G137+G128+G104</f>
        <v>1962.6121000000001</v>
      </c>
      <c r="H140" s="152">
        <f t="shared" si="50"/>
        <v>5500.6175000000003</v>
      </c>
      <c r="I140" s="57"/>
      <c r="J140" s="199">
        <f t="shared" si="43"/>
        <v>5500.6175000000003</v>
      </c>
      <c r="K140" s="155">
        <f t="shared" ref="K140:L140" si="51">K137+K128+K104</f>
        <v>1019.3321000000002</v>
      </c>
      <c r="L140" s="93">
        <f t="shared" si="51"/>
        <v>160.34620000000001</v>
      </c>
      <c r="M140" s="97">
        <f>M137+M128+M104</f>
        <v>7.4313000000000002</v>
      </c>
      <c r="N140" s="33">
        <f>N104+N128+N137</f>
        <v>33.410499999999999</v>
      </c>
      <c r="O140" s="93">
        <f t="shared" ref="O140:P140" si="52">O137+O128+O104</f>
        <v>4.9081999999999999</v>
      </c>
      <c r="P140" s="93">
        <f t="shared" si="52"/>
        <v>12.78753</v>
      </c>
      <c r="Q140" s="175">
        <f t="shared" si="29"/>
        <v>9051.3699299999989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42"/>
        <v>0</v>
      </c>
      <c r="G141" s="148"/>
      <c r="H141" s="144"/>
      <c r="I141" s="206"/>
      <c r="J141" s="201">
        <f t="shared" si="43"/>
        <v>0</v>
      </c>
      <c r="K141" s="148"/>
      <c r="L141" s="33"/>
      <c r="M141" s="69"/>
      <c r="N141" s="33"/>
      <c r="O141" s="33"/>
      <c r="P141" s="33"/>
      <c r="Q141" s="175">
        <f t="shared" ref="Q141:Q142" si="53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 t="shared" ref="D142:E142" si="54">D139+D129+D105</f>
        <v>72084.487999999983</v>
      </c>
      <c r="E142" s="118">
        <f t="shared" si="54"/>
        <v>183184.65200000006</v>
      </c>
      <c r="F142" s="207">
        <f t="shared" si="42"/>
        <v>255269.14000000004</v>
      </c>
      <c r="G142" s="136">
        <f t="shared" ref="G142:H142" si="55">G139+G129+G105</f>
        <v>472572.51299999998</v>
      </c>
      <c r="H142" s="153">
        <f t="shared" si="55"/>
        <v>709540.39900000009</v>
      </c>
      <c r="I142" s="58"/>
      <c r="J142" s="207">
        <f t="shared" si="43"/>
        <v>709540.39900000009</v>
      </c>
      <c r="K142" s="136">
        <f t="shared" ref="K142:M142" si="56">K139+K129+K105</f>
        <v>85036.488000000012</v>
      </c>
      <c r="L142" s="37">
        <f t="shared" si="56"/>
        <v>37462.654000000002</v>
      </c>
      <c r="M142" s="71">
        <f t="shared" si="56"/>
        <v>11854.520640000001</v>
      </c>
      <c r="N142" s="37">
        <f>N105+N129+N139</f>
        <v>22537.906999999999</v>
      </c>
      <c r="O142" s="37">
        <f t="shared" ref="O142:P142" si="57">O139+O129+O105</f>
        <v>6278.5949999999993</v>
      </c>
      <c r="P142" s="37">
        <f t="shared" si="57"/>
        <v>12773.52612</v>
      </c>
      <c r="Q142" s="187">
        <f t="shared" si="53"/>
        <v>1613325.7427600001</v>
      </c>
      <c r="R142" s="27"/>
    </row>
    <row r="143" spans="1:18">
      <c r="Q143" s="208" t="s">
        <v>94</v>
      </c>
    </row>
    <row r="145" spans="7:16">
      <c r="G145" s="47"/>
      <c r="L145" s="157"/>
      <c r="M145" s="47"/>
    </row>
    <row r="146" spans="7:16">
      <c r="G146" s="268"/>
      <c r="L146" s="157"/>
      <c r="M146" s="47"/>
      <c r="P146" s="99"/>
    </row>
    <row r="147" spans="7:16">
      <c r="G147" s="47"/>
      <c r="L147" s="157"/>
      <c r="M147" s="47"/>
      <c r="P147" s="99"/>
    </row>
    <row r="148" spans="7:16">
      <c r="G148" s="47"/>
      <c r="M148" s="47"/>
      <c r="P148" s="99"/>
    </row>
    <row r="149" spans="7:16">
      <c r="L149" s="158"/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105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128"/>
      <c r="F5" s="173">
        <f>SUM(D5:E5)</f>
        <v>0</v>
      </c>
      <c r="G5" s="77"/>
      <c r="H5" s="275">
        <v>0.2452</v>
      </c>
      <c r="I5" s="174"/>
      <c r="J5" s="173">
        <f>SUM(H5:I5)</f>
        <v>0.2452</v>
      </c>
      <c r="K5" s="275">
        <v>4.2000000000000003E-2</v>
      </c>
      <c r="L5" s="33"/>
      <c r="M5" s="33"/>
      <c r="N5" s="33"/>
      <c r="O5" s="33"/>
      <c r="P5" s="33"/>
      <c r="Q5" s="175">
        <f>SUM(F5:G5,J5:P5)</f>
        <v>0.28720000000000001</v>
      </c>
      <c r="R5" s="47"/>
    </row>
    <row r="6" spans="1:18">
      <c r="A6" s="176" t="s">
        <v>12</v>
      </c>
      <c r="B6" s="307"/>
      <c r="C6" s="177" t="s">
        <v>13</v>
      </c>
      <c r="D6" s="53"/>
      <c r="E6" s="129"/>
      <c r="F6" s="178">
        <f>SUM(D6:E6)</f>
        <v>0</v>
      </c>
      <c r="G6" s="78"/>
      <c r="H6" s="276">
        <v>70.513000000000005</v>
      </c>
      <c r="I6" s="179"/>
      <c r="J6" s="178">
        <f>SUM(H6:I6)</f>
        <v>70.513000000000005</v>
      </c>
      <c r="K6" s="277">
        <v>4.6619999999999999</v>
      </c>
      <c r="L6" s="54"/>
      <c r="M6" s="54"/>
      <c r="N6" s="54"/>
      <c r="O6" s="54"/>
      <c r="P6" s="54"/>
      <c r="Q6" s="180">
        <f>SUM(F6:G6,J6:P6)</f>
        <v>75.175000000000011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128">
        <v>0.318</v>
      </c>
      <c r="F7" s="181">
        <f t="shared" ref="F7:F68" si="0">SUM(D7:E7)</f>
        <v>0.318</v>
      </c>
      <c r="G7" s="77"/>
      <c r="H7" s="275">
        <v>89.555000000000007</v>
      </c>
      <c r="I7" s="174"/>
      <c r="J7" s="181">
        <f t="shared" ref="J7:J68" si="1">SUM(H7:I7)</f>
        <v>89.555000000000007</v>
      </c>
      <c r="K7" s="275">
        <v>6.0529999999999999</v>
      </c>
      <c r="L7" s="33"/>
      <c r="M7" s="33"/>
      <c r="N7" s="33"/>
      <c r="O7" s="33"/>
      <c r="P7" s="33"/>
      <c r="Q7" s="175">
        <f t="shared" ref="Q7:Q68" si="2">SUM(F7:G7,J7:P7)</f>
        <v>95.926000000000002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129">
        <v>116.498</v>
      </c>
      <c r="F8" s="178">
        <f t="shared" si="0"/>
        <v>116.498</v>
      </c>
      <c r="G8" s="78"/>
      <c r="H8" s="276">
        <v>4991.0339999999997</v>
      </c>
      <c r="I8" s="179"/>
      <c r="J8" s="178">
        <f t="shared" si="1"/>
        <v>4991.0339999999997</v>
      </c>
      <c r="K8" s="276">
        <v>285.74400000000003</v>
      </c>
      <c r="L8" s="54"/>
      <c r="M8" s="54"/>
      <c r="N8" s="54"/>
      <c r="O8" s="54"/>
      <c r="P8" s="54"/>
      <c r="Q8" s="180">
        <f t="shared" si="2"/>
        <v>5393.2759999999989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/>
      <c r="E9" s="33">
        <f t="shared" ref="E9:E10" si="3">+E5+E7</f>
        <v>0.318</v>
      </c>
      <c r="F9" s="181">
        <f>SUM(D9:E9)</f>
        <v>0.318</v>
      </c>
      <c r="G9" s="49"/>
      <c r="H9" s="49">
        <f t="shared" ref="H9:H10" si="4">+H5+H7</f>
        <v>89.800200000000004</v>
      </c>
      <c r="I9" s="50"/>
      <c r="J9" s="181">
        <f>SUM(H9:I9)</f>
        <v>89.800200000000004</v>
      </c>
      <c r="K9" s="49">
        <f t="shared" ref="K9:K10" si="5">+K5+K7</f>
        <v>6.0949999999999998</v>
      </c>
      <c r="L9" s="33"/>
      <c r="M9" s="33"/>
      <c r="N9" s="33"/>
      <c r="O9" s="33"/>
      <c r="P9" s="33"/>
      <c r="Q9" s="175">
        <f t="shared" si="2"/>
        <v>96.213200000000001</v>
      </c>
      <c r="R9" s="47"/>
    </row>
    <row r="10" spans="1:18">
      <c r="A10" s="183"/>
      <c r="B10" s="309"/>
      <c r="C10" s="177" t="s">
        <v>13</v>
      </c>
      <c r="D10" s="109"/>
      <c r="E10" s="54">
        <f t="shared" si="3"/>
        <v>116.498</v>
      </c>
      <c r="F10" s="178">
        <f t="shared" si="0"/>
        <v>116.498</v>
      </c>
      <c r="G10" s="68"/>
      <c r="H10" s="68">
        <f t="shared" si="4"/>
        <v>5061.5469999999996</v>
      </c>
      <c r="I10" s="63"/>
      <c r="J10" s="178">
        <f t="shared" si="1"/>
        <v>5061.5469999999996</v>
      </c>
      <c r="K10" s="68">
        <f t="shared" si="5"/>
        <v>290.40600000000001</v>
      </c>
      <c r="L10" s="54"/>
      <c r="M10" s="54"/>
      <c r="N10" s="54"/>
      <c r="O10" s="54"/>
      <c r="P10" s="54"/>
      <c r="Q10" s="180">
        <f t="shared" si="2"/>
        <v>5468.4509999999991</v>
      </c>
      <c r="R10" s="47"/>
    </row>
    <row r="11" spans="1:18">
      <c r="A11" s="310" t="s">
        <v>20</v>
      </c>
      <c r="B11" s="311"/>
      <c r="C11" s="48" t="s">
        <v>11</v>
      </c>
      <c r="D11" s="52">
        <v>1.1706000000000001</v>
      </c>
      <c r="E11" s="128"/>
      <c r="F11" s="181">
        <f t="shared" si="0"/>
        <v>1.1706000000000001</v>
      </c>
      <c r="G11" s="77">
        <v>0.16039999999999999</v>
      </c>
      <c r="H11" s="275"/>
      <c r="I11" s="174"/>
      <c r="J11" s="181">
        <f t="shared" si="1"/>
        <v>0</v>
      </c>
      <c r="K11" s="275">
        <v>0.28999999999999998</v>
      </c>
      <c r="L11" s="33"/>
      <c r="M11" s="33"/>
      <c r="N11" s="33"/>
      <c r="O11" s="33"/>
      <c r="P11" s="33"/>
      <c r="Q11" s="175">
        <f t="shared" si="2"/>
        <v>1.621</v>
      </c>
      <c r="R11" s="47"/>
    </row>
    <row r="12" spans="1:18">
      <c r="A12" s="312"/>
      <c r="B12" s="313"/>
      <c r="C12" s="177" t="s">
        <v>13</v>
      </c>
      <c r="D12" s="53">
        <v>344.74025592000999</v>
      </c>
      <c r="E12" s="129"/>
      <c r="F12" s="178">
        <f t="shared" si="0"/>
        <v>344.74025592000999</v>
      </c>
      <c r="G12" s="78">
        <v>44.01</v>
      </c>
      <c r="H12" s="276"/>
      <c r="I12" s="179"/>
      <c r="J12" s="178">
        <f t="shared" si="1"/>
        <v>0</v>
      </c>
      <c r="K12" s="276">
        <v>76.125</v>
      </c>
      <c r="L12" s="54"/>
      <c r="M12" s="54"/>
      <c r="N12" s="54"/>
      <c r="O12" s="54"/>
      <c r="P12" s="54"/>
      <c r="Q12" s="180">
        <f t="shared" si="2"/>
        <v>464.87525592000998</v>
      </c>
      <c r="R12" s="47"/>
    </row>
    <row r="13" spans="1:18">
      <c r="A13" s="27"/>
      <c r="B13" s="306" t="s">
        <v>21</v>
      </c>
      <c r="C13" s="48" t="s">
        <v>11</v>
      </c>
      <c r="D13" s="52">
        <v>6.2069999999999999</v>
      </c>
      <c r="E13" s="128">
        <v>5.5243000000000002</v>
      </c>
      <c r="F13" s="181">
        <f t="shared" si="0"/>
        <v>11.731300000000001</v>
      </c>
      <c r="G13" s="77">
        <v>0.45050000000000001</v>
      </c>
      <c r="H13" s="275"/>
      <c r="I13" s="174"/>
      <c r="J13" s="181">
        <f t="shared" si="1"/>
        <v>0</v>
      </c>
      <c r="K13" s="275"/>
      <c r="L13" s="33">
        <v>0.16700000000000001</v>
      </c>
      <c r="M13" s="33"/>
      <c r="N13" s="33"/>
      <c r="O13" s="33"/>
      <c r="P13" s="33"/>
      <c r="Q13" s="175">
        <f t="shared" si="2"/>
        <v>12.348800000000001</v>
      </c>
      <c r="R13" s="47"/>
    </row>
    <row r="14" spans="1:18">
      <c r="A14" s="172" t="s">
        <v>0</v>
      </c>
      <c r="B14" s="307"/>
      <c r="C14" s="177" t="s">
        <v>13</v>
      </c>
      <c r="D14" s="53">
        <v>13873.799250456623</v>
      </c>
      <c r="E14" s="129">
        <v>18304.262999999999</v>
      </c>
      <c r="F14" s="178">
        <f t="shared" si="0"/>
        <v>32178.06225045662</v>
      </c>
      <c r="G14" s="78">
        <v>2093.2489999999998</v>
      </c>
      <c r="H14" s="276"/>
      <c r="I14" s="179"/>
      <c r="J14" s="178">
        <f t="shared" si="1"/>
        <v>0</v>
      </c>
      <c r="K14" s="276"/>
      <c r="L14" s="54">
        <v>518.27</v>
      </c>
      <c r="M14" s="54"/>
      <c r="N14" s="54"/>
      <c r="O14" s="54"/>
      <c r="P14" s="92"/>
      <c r="Q14" s="180">
        <f t="shared" si="2"/>
        <v>34789.58125045662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4.9816000000000003</v>
      </c>
      <c r="E15" s="128"/>
      <c r="F15" s="181">
        <f t="shared" si="0"/>
        <v>4.9816000000000003</v>
      </c>
      <c r="G15" s="77"/>
      <c r="H15" s="275"/>
      <c r="I15" s="174"/>
      <c r="J15" s="181">
        <f t="shared" si="1"/>
        <v>0</v>
      </c>
      <c r="K15" s="275"/>
      <c r="L15" s="33"/>
      <c r="M15" s="33"/>
      <c r="N15" s="33"/>
      <c r="O15" s="33"/>
      <c r="P15" s="33"/>
      <c r="Q15" s="175">
        <f t="shared" si="2"/>
        <v>4.9816000000000003</v>
      </c>
      <c r="R15" s="47"/>
    </row>
    <row r="16" spans="1:18">
      <c r="A16" s="176" t="s">
        <v>0</v>
      </c>
      <c r="B16" s="307"/>
      <c r="C16" s="177" t="s">
        <v>13</v>
      </c>
      <c r="D16" s="53">
        <v>2223.5538606806922</v>
      </c>
      <c r="E16" s="129"/>
      <c r="F16" s="178">
        <f t="shared" si="0"/>
        <v>2223.5538606806922</v>
      </c>
      <c r="G16" s="78"/>
      <c r="H16" s="276"/>
      <c r="I16" s="179"/>
      <c r="J16" s="178">
        <f t="shared" si="1"/>
        <v>0</v>
      </c>
      <c r="K16" s="276"/>
      <c r="L16" s="54"/>
      <c r="M16" s="54"/>
      <c r="N16" s="54"/>
      <c r="O16" s="54"/>
      <c r="P16" s="54"/>
      <c r="Q16" s="180">
        <f t="shared" si="2"/>
        <v>2223.5538606806922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30.675999999999998</v>
      </c>
      <c r="E17" s="128">
        <v>21.466999999999999</v>
      </c>
      <c r="F17" s="181">
        <f t="shared" si="0"/>
        <v>52.143000000000001</v>
      </c>
      <c r="G17" s="77">
        <v>49.985300000000002</v>
      </c>
      <c r="H17" s="275"/>
      <c r="I17" s="174"/>
      <c r="J17" s="181">
        <f t="shared" si="1"/>
        <v>0</v>
      </c>
      <c r="K17" s="275"/>
      <c r="L17" s="33">
        <v>0.20524999999999999</v>
      </c>
      <c r="M17" s="33"/>
      <c r="N17" s="33"/>
      <c r="O17" s="33"/>
      <c r="P17" s="33"/>
      <c r="Q17" s="175">
        <f t="shared" si="2"/>
        <v>102.33355</v>
      </c>
      <c r="R17" s="47"/>
    </row>
    <row r="18" spans="1:18">
      <c r="A18" s="176"/>
      <c r="B18" s="307"/>
      <c r="C18" s="177" t="s">
        <v>13</v>
      </c>
      <c r="D18" s="53">
        <v>45729.53181774664</v>
      </c>
      <c r="E18" s="129">
        <v>30889.414000000001</v>
      </c>
      <c r="F18" s="178">
        <f t="shared" si="0"/>
        <v>76618.945817746644</v>
      </c>
      <c r="G18" s="78">
        <v>56610.152999999998</v>
      </c>
      <c r="H18" s="276"/>
      <c r="I18" s="179"/>
      <c r="J18" s="178">
        <f t="shared" si="1"/>
        <v>0</v>
      </c>
      <c r="K18" s="276"/>
      <c r="L18" s="54">
        <v>361.25599999999997</v>
      </c>
      <c r="M18" s="54"/>
      <c r="N18" s="54"/>
      <c r="O18" s="54"/>
      <c r="P18" s="54"/>
      <c r="Q18" s="180">
        <f t="shared" si="2"/>
        <v>133590.35481774664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5.0651999999999999</v>
      </c>
      <c r="E19" s="128">
        <v>13.3848</v>
      </c>
      <c r="F19" s="181">
        <f t="shared" si="0"/>
        <v>18.45</v>
      </c>
      <c r="G19" s="77">
        <v>3.3727</v>
      </c>
      <c r="H19" s="275"/>
      <c r="I19" s="174"/>
      <c r="J19" s="181">
        <f t="shared" si="1"/>
        <v>0</v>
      </c>
      <c r="K19" s="275"/>
      <c r="L19" s="33"/>
      <c r="M19" s="33"/>
      <c r="N19" s="33"/>
      <c r="O19" s="33"/>
      <c r="P19" s="33"/>
      <c r="Q19" s="175">
        <f t="shared" si="2"/>
        <v>21.822699999999998</v>
      </c>
      <c r="R19" s="47"/>
    </row>
    <row r="20" spans="1:18">
      <c r="A20" s="176"/>
      <c r="B20" s="177" t="s">
        <v>28</v>
      </c>
      <c r="C20" s="177" t="s">
        <v>13</v>
      </c>
      <c r="D20" s="53">
        <v>4149.0966730212767</v>
      </c>
      <c r="E20" s="129">
        <v>9213.8060000000005</v>
      </c>
      <c r="F20" s="178">
        <f t="shared" si="0"/>
        <v>13362.902673021277</v>
      </c>
      <c r="G20" s="78">
        <v>3477.6779999999999</v>
      </c>
      <c r="H20" s="276"/>
      <c r="I20" s="179"/>
      <c r="J20" s="178">
        <f t="shared" si="1"/>
        <v>0</v>
      </c>
      <c r="K20" s="276"/>
      <c r="L20" s="54"/>
      <c r="M20" s="54"/>
      <c r="N20" s="54"/>
      <c r="O20" s="54"/>
      <c r="P20" s="54"/>
      <c r="Q20" s="180">
        <f t="shared" si="2"/>
        <v>16840.580673021279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37.466200000000001</v>
      </c>
      <c r="E21" s="128">
        <v>65.184600000000003</v>
      </c>
      <c r="F21" s="181">
        <f t="shared" si="0"/>
        <v>102.6508</v>
      </c>
      <c r="G21" s="77">
        <v>53.062100000000001</v>
      </c>
      <c r="H21" s="275"/>
      <c r="I21" s="174"/>
      <c r="J21" s="181">
        <f t="shared" si="1"/>
        <v>0</v>
      </c>
      <c r="K21" s="275"/>
      <c r="L21" s="33">
        <v>4.0500000000000001E-2</v>
      </c>
      <c r="M21" s="33"/>
      <c r="N21" s="33"/>
      <c r="O21" s="33"/>
      <c r="P21" s="33"/>
      <c r="Q21" s="175">
        <f t="shared" si="2"/>
        <v>155.7534</v>
      </c>
      <c r="R21" s="47"/>
    </row>
    <row r="22" spans="1:18">
      <c r="A22" s="27"/>
      <c r="B22" s="307"/>
      <c r="C22" s="177" t="s">
        <v>13</v>
      </c>
      <c r="D22" s="53">
        <v>21442.156378113097</v>
      </c>
      <c r="E22" s="129">
        <v>40145.273999999998</v>
      </c>
      <c r="F22" s="178">
        <f t="shared" si="0"/>
        <v>61587.430378113095</v>
      </c>
      <c r="G22" s="78">
        <v>17188.921999999999</v>
      </c>
      <c r="H22" s="276"/>
      <c r="I22" s="179"/>
      <c r="J22" s="178">
        <f t="shared" si="1"/>
        <v>0</v>
      </c>
      <c r="K22" s="276"/>
      <c r="L22" s="54">
        <v>33.573999999999998</v>
      </c>
      <c r="M22" s="54"/>
      <c r="N22" s="54"/>
      <c r="O22" s="54"/>
      <c r="P22" s="54"/>
      <c r="Q22" s="180">
        <f t="shared" si="2"/>
        <v>78809.926378113087</v>
      </c>
      <c r="R22" s="47"/>
    </row>
    <row r="23" spans="1:18">
      <c r="A23" s="27"/>
      <c r="B23" s="308" t="s">
        <v>19</v>
      </c>
      <c r="C23" s="48" t="s">
        <v>11</v>
      </c>
      <c r="D23" s="110">
        <f t="shared" ref="D23:D24" si="6">D13+D15+D17+D19+D21</f>
        <v>84.395999999999987</v>
      </c>
      <c r="E23" s="33">
        <f t="shared" ref="E23:E24" si="7">+E13+E15+E17+E19+E21</f>
        <v>105.5607</v>
      </c>
      <c r="F23" s="181">
        <f t="shared" si="0"/>
        <v>189.95669999999998</v>
      </c>
      <c r="G23" s="49">
        <f t="shared" ref="G23:G24" si="8">+G13+G15+G17+G19+G21</f>
        <v>106.8706</v>
      </c>
      <c r="H23" s="49"/>
      <c r="I23" s="50"/>
      <c r="J23" s="181">
        <f t="shared" si="1"/>
        <v>0</v>
      </c>
      <c r="K23" s="49"/>
      <c r="L23" s="33">
        <f t="shared" ref="L23:L24" si="9">+L13+L15+L17+L19+L21</f>
        <v>0.41274999999999995</v>
      </c>
      <c r="M23" s="33"/>
      <c r="N23" s="33"/>
      <c r="O23" s="33"/>
      <c r="P23" s="33"/>
      <c r="Q23" s="175">
        <f t="shared" si="2"/>
        <v>297.24005</v>
      </c>
      <c r="R23" s="47"/>
    </row>
    <row r="24" spans="1:18">
      <c r="A24" s="183"/>
      <c r="B24" s="309"/>
      <c r="C24" s="177" t="s">
        <v>13</v>
      </c>
      <c r="D24" s="111">
        <f t="shared" si="6"/>
        <v>87418.137980018335</v>
      </c>
      <c r="E24" s="54">
        <f t="shared" si="7"/>
        <v>98552.756999999983</v>
      </c>
      <c r="F24" s="178">
        <f t="shared" si="0"/>
        <v>185970.89498001832</v>
      </c>
      <c r="G24" s="68">
        <f t="shared" si="8"/>
        <v>79370.002000000008</v>
      </c>
      <c r="H24" s="68"/>
      <c r="I24" s="63"/>
      <c r="J24" s="178">
        <f t="shared" si="1"/>
        <v>0</v>
      </c>
      <c r="K24" s="68"/>
      <c r="L24" s="54">
        <f t="shared" si="9"/>
        <v>913.09999999999991</v>
      </c>
      <c r="M24" s="54"/>
      <c r="N24" s="54"/>
      <c r="O24" s="54"/>
      <c r="P24" s="54"/>
      <c r="Q24" s="180">
        <f t="shared" si="2"/>
        <v>266253.99698001833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1.4710000000000001</v>
      </c>
      <c r="E25" s="128">
        <v>0.753</v>
      </c>
      <c r="F25" s="181">
        <f t="shared" si="0"/>
        <v>2.2240000000000002</v>
      </c>
      <c r="G25" s="77">
        <v>131.6738</v>
      </c>
      <c r="H25" s="275"/>
      <c r="I25" s="174"/>
      <c r="J25" s="181">
        <f t="shared" si="1"/>
        <v>0</v>
      </c>
      <c r="K25" s="275"/>
      <c r="L25" s="33">
        <v>6.5100000000000005E-2</v>
      </c>
      <c r="M25" s="33"/>
      <c r="N25" s="33"/>
      <c r="O25" s="33"/>
      <c r="P25" s="33"/>
      <c r="Q25" s="175">
        <f t="shared" si="2"/>
        <v>133.96289999999999</v>
      </c>
      <c r="R25" s="47"/>
    </row>
    <row r="26" spans="1:18">
      <c r="A26" s="176" t="s">
        <v>31</v>
      </c>
      <c r="B26" s="307"/>
      <c r="C26" s="177" t="s">
        <v>13</v>
      </c>
      <c r="D26" s="53">
        <v>1424.5877310811074</v>
      </c>
      <c r="E26" s="129">
        <v>752.11500000000001</v>
      </c>
      <c r="F26" s="178">
        <f t="shared" si="0"/>
        <v>2176.7027310811072</v>
      </c>
      <c r="G26" s="78">
        <v>153533.59599999999</v>
      </c>
      <c r="H26" s="276"/>
      <c r="I26" s="179"/>
      <c r="J26" s="178">
        <f t="shared" si="1"/>
        <v>0</v>
      </c>
      <c r="K26" s="276"/>
      <c r="L26" s="54">
        <v>142.03299999999999</v>
      </c>
      <c r="M26" s="54"/>
      <c r="N26" s="54"/>
      <c r="O26" s="54"/>
      <c r="P26" s="54"/>
      <c r="Q26" s="180">
        <f t="shared" si="2"/>
        <v>155852.3317310811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5.2960000000000003</v>
      </c>
      <c r="E27" s="128">
        <v>7.66</v>
      </c>
      <c r="F27" s="181">
        <f t="shared" si="0"/>
        <v>12.956</v>
      </c>
      <c r="G27" s="77">
        <v>12.1105</v>
      </c>
      <c r="H27" s="275"/>
      <c r="I27" s="174"/>
      <c r="J27" s="181">
        <f t="shared" si="1"/>
        <v>0</v>
      </c>
      <c r="K27" s="278"/>
      <c r="L27" s="33"/>
      <c r="M27" s="33"/>
      <c r="N27" s="33"/>
      <c r="O27" s="33"/>
      <c r="P27" s="33"/>
      <c r="Q27" s="175">
        <f t="shared" si="2"/>
        <v>25.066499999999998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2176.4193530350458</v>
      </c>
      <c r="E28" s="129">
        <v>3411.7420000000002</v>
      </c>
      <c r="F28" s="178">
        <f t="shared" si="0"/>
        <v>5588.161353035046</v>
      </c>
      <c r="G28" s="78">
        <v>9128.3539999999994</v>
      </c>
      <c r="H28" s="276"/>
      <c r="I28" s="179"/>
      <c r="J28" s="178">
        <f t="shared" si="1"/>
        <v>0</v>
      </c>
      <c r="K28" s="276"/>
      <c r="L28" s="54"/>
      <c r="M28" s="54"/>
      <c r="N28" s="54"/>
      <c r="O28" s="54"/>
      <c r="P28" s="54"/>
      <c r="Q28" s="180">
        <f t="shared" si="2"/>
        <v>14716.515353035045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f t="shared" ref="D29:D30" si="10">D25+D27</f>
        <v>6.7670000000000003</v>
      </c>
      <c r="E29" s="33">
        <f t="shared" ref="E29:E30" si="11">+E25+E27</f>
        <v>8.4130000000000003</v>
      </c>
      <c r="F29" s="181">
        <f t="shared" si="0"/>
        <v>15.18</v>
      </c>
      <c r="G29" s="49">
        <f t="shared" ref="G29:G30" si="12">+G25+G27</f>
        <v>143.7843</v>
      </c>
      <c r="H29" s="49"/>
      <c r="I29" s="50"/>
      <c r="J29" s="181">
        <f t="shared" si="1"/>
        <v>0</v>
      </c>
      <c r="K29" s="49"/>
      <c r="L29" s="33">
        <f>+L25+L27</f>
        <v>6.5100000000000005E-2</v>
      </c>
      <c r="M29" s="55"/>
      <c r="N29" s="33"/>
      <c r="O29" s="33"/>
      <c r="P29" s="33"/>
      <c r="Q29" s="175">
        <f t="shared" si="2"/>
        <v>159.02940000000001</v>
      </c>
      <c r="R29" s="47"/>
    </row>
    <row r="30" spans="1:18">
      <c r="A30" s="183"/>
      <c r="B30" s="309"/>
      <c r="C30" s="177" t="s">
        <v>13</v>
      </c>
      <c r="D30" s="111">
        <f t="shared" si="10"/>
        <v>3601.0070841161532</v>
      </c>
      <c r="E30" s="54">
        <f t="shared" si="11"/>
        <v>4163.857</v>
      </c>
      <c r="F30" s="178">
        <f t="shared" si="0"/>
        <v>7764.8640841161532</v>
      </c>
      <c r="G30" s="68">
        <f t="shared" si="12"/>
        <v>162661.94999999998</v>
      </c>
      <c r="H30" s="68"/>
      <c r="I30" s="63"/>
      <c r="J30" s="178">
        <f t="shared" si="1"/>
        <v>0</v>
      </c>
      <c r="K30" s="68"/>
      <c r="L30" s="54">
        <f>+L26+L28</f>
        <v>142.03299999999999</v>
      </c>
      <c r="M30" s="68"/>
      <c r="N30" s="54"/>
      <c r="O30" s="54"/>
      <c r="P30" s="54"/>
      <c r="Q30" s="180">
        <f t="shared" si="2"/>
        <v>170568.84708411613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2.5464000000000002</v>
      </c>
      <c r="E31" s="128">
        <v>2.8412000000000002</v>
      </c>
      <c r="F31" s="181">
        <f t="shared" si="0"/>
        <v>5.3876000000000008</v>
      </c>
      <c r="G31" s="77">
        <v>10.8758</v>
      </c>
      <c r="H31" s="275">
        <v>170.84639999999999</v>
      </c>
      <c r="I31" s="174"/>
      <c r="J31" s="181">
        <f t="shared" si="1"/>
        <v>170.84639999999999</v>
      </c>
      <c r="K31" s="275">
        <v>95.358000000000004</v>
      </c>
      <c r="L31" s="33">
        <v>1.5104</v>
      </c>
      <c r="M31" s="33"/>
      <c r="N31" s="33">
        <v>0.1648</v>
      </c>
      <c r="O31" s="33">
        <v>9.8199999999999996E-2</v>
      </c>
      <c r="P31" s="33">
        <v>2.8064</v>
      </c>
      <c r="Q31" s="175">
        <f t="shared" si="2"/>
        <v>287.04760000000005</v>
      </c>
      <c r="R31" s="47"/>
    </row>
    <row r="32" spans="1:18">
      <c r="A32" s="176" t="s">
        <v>36</v>
      </c>
      <c r="B32" s="307"/>
      <c r="C32" s="177" t="s">
        <v>13</v>
      </c>
      <c r="D32" s="53">
        <v>454.02112364636224</v>
      </c>
      <c r="E32" s="129">
        <v>361.32</v>
      </c>
      <c r="F32" s="178">
        <f t="shared" si="0"/>
        <v>815.34112364636223</v>
      </c>
      <c r="G32" s="78">
        <v>2100.6379999999999</v>
      </c>
      <c r="H32" s="276">
        <v>36159.945</v>
      </c>
      <c r="I32" s="179"/>
      <c r="J32" s="178">
        <f t="shared" si="1"/>
        <v>36159.945</v>
      </c>
      <c r="K32" s="276">
        <v>14321.916999999999</v>
      </c>
      <c r="L32" s="54">
        <v>469.14400000000001</v>
      </c>
      <c r="M32" s="54"/>
      <c r="N32" s="54">
        <v>13.782</v>
      </c>
      <c r="O32" s="54">
        <v>6.9729999999999999</v>
      </c>
      <c r="P32" s="54">
        <f>394.594*1.08</f>
        <v>426.16152</v>
      </c>
      <c r="Q32" s="180">
        <f t="shared" si="2"/>
        <v>54313.901643646364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0.12590000000000001</v>
      </c>
      <c r="E33" s="128">
        <v>1.8700000000000001E-2</v>
      </c>
      <c r="F33" s="181">
        <f t="shared" si="0"/>
        <v>0.14460000000000001</v>
      </c>
      <c r="G33" s="77">
        <v>1.1334</v>
      </c>
      <c r="H33" s="275">
        <v>468.29700000000003</v>
      </c>
      <c r="I33" s="174"/>
      <c r="J33" s="181">
        <f t="shared" si="1"/>
        <v>468.29700000000003</v>
      </c>
      <c r="K33" s="275">
        <v>138.87200000000001</v>
      </c>
      <c r="L33" s="33">
        <v>0.189</v>
      </c>
      <c r="M33" s="33"/>
      <c r="N33" s="33"/>
      <c r="O33" s="33"/>
      <c r="P33" s="33"/>
      <c r="Q33" s="175">
        <f t="shared" si="2"/>
        <v>608.63600000000008</v>
      </c>
      <c r="R33" s="47"/>
    </row>
    <row r="34" spans="1:18">
      <c r="A34" s="176" t="s">
        <v>38</v>
      </c>
      <c r="B34" s="307"/>
      <c r="C34" s="177" t="s">
        <v>13</v>
      </c>
      <c r="D34" s="53">
        <v>18.012752921832615</v>
      </c>
      <c r="E34" s="129">
        <v>3.46</v>
      </c>
      <c r="F34" s="178">
        <f t="shared" si="0"/>
        <v>21.472752921832615</v>
      </c>
      <c r="G34" s="78">
        <v>204.21600000000001</v>
      </c>
      <c r="H34" s="276">
        <v>34775.339</v>
      </c>
      <c r="I34" s="179"/>
      <c r="J34" s="178">
        <f t="shared" si="1"/>
        <v>34775.339</v>
      </c>
      <c r="K34" s="276">
        <v>10285.263999999999</v>
      </c>
      <c r="L34" s="54">
        <v>34.229999999999997</v>
      </c>
      <c r="M34" s="54"/>
      <c r="N34" s="54"/>
      <c r="O34" s="54"/>
      <c r="P34" s="54"/>
      <c r="Q34" s="180">
        <f t="shared" si="2"/>
        <v>45320.521752921828</v>
      </c>
      <c r="R34" s="47"/>
    </row>
    <row r="35" spans="1:18">
      <c r="A35" s="176"/>
      <c r="B35" s="46" t="s">
        <v>15</v>
      </c>
      <c r="C35" s="48" t="s">
        <v>11</v>
      </c>
      <c r="D35" s="52"/>
      <c r="E35" s="128"/>
      <c r="F35" s="181">
        <f t="shared" si="0"/>
        <v>0</v>
      </c>
      <c r="G35" s="77"/>
      <c r="H35" s="275">
        <v>1278.2329999999999</v>
      </c>
      <c r="I35" s="174"/>
      <c r="J35" s="181">
        <f t="shared" si="1"/>
        <v>1278.2329999999999</v>
      </c>
      <c r="K35" s="275">
        <v>4.5460000000000003</v>
      </c>
      <c r="L35" s="33">
        <v>4.0000000000000001E-3</v>
      </c>
      <c r="M35" s="33"/>
      <c r="N35" s="33"/>
      <c r="O35" s="33"/>
      <c r="P35" s="33"/>
      <c r="Q35" s="175">
        <f t="shared" si="2"/>
        <v>1282.7829999999999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129"/>
      <c r="F36" s="178">
        <f t="shared" si="0"/>
        <v>0</v>
      </c>
      <c r="G36" s="78"/>
      <c r="H36" s="276">
        <v>196595.264</v>
      </c>
      <c r="I36" s="179"/>
      <c r="J36" s="178">
        <f t="shared" si="1"/>
        <v>196595.264</v>
      </c>
      <c r="K36" s="276">
        <v>288.36200000000002</v>
      </c>
      <c r="L36" s="54">
        <v>8.0850000000000009</v>
      </c>
      <c r="M36" s="54"/>
      <c r="N36" s="54"/>
      <c r="O36" s="54"/>
      <c r="P36" s="92"/>
      <c r="Q36" s="180">
        <f t="shared" si="2"/>
        <v>196891.71099999998</v>
      </c>
      <c r="R36" s="47"/>
    </row>
    <row r="37" spans="1:18">
      <c r="A37" s="27"/>
      <c r="B37" s="308" t="s">
        <v>19</v>
      </c>
      <c r="C37" s="48" t="s">
        <v>11</v>
      </c>
      <c r="D37" s="110">
        <f t="shared" ref="D37:D38" si="13">D31+D33+D35</f>
        <v>2.6723000000000003</v>
      </c>
      <c r="E37" s="33">
        <f t="shared" ref="E37:E38" si="14">+E31+E33+E35</f>
        <v>2.8599000000000001</v>
      </c>
      <c r="F37" s="181">
        <f t="shared" si="0"/>
        <v>5.5322000000000005</v>
      </c>
      <c r="G37" s="49">
        <f t="shared" ref="G37:H38" si="15">+G31+G33+G35</f>
        <v>12.0092</v>
      </c>
      <c r="H37" s="49">
        <f t="shared" si="15"/>
        <v>1917.3764000000001</v>
      </c>
      <c r="I37" s="50"/>
      <c r="J37" s="181">
        <f t="shared" si="1"/>
        <v>1917.3764000000001</v>
      </c>
      <c r="K37" s="49">
        <f t="shared" ref="K37:L38" si="16">+K31+K33+K35</f>
        <v>238.77600000000001</v>
      </c>
      <c r="L37" s="33">
        <f t="shared" si="16"/>
        <v>1.7034</v>
      </c>
      <c r="M37" s="33"/>
      <c r="N37" s="33">
        <f t="shared" ref="N37:O38" si="17">+N31+N33+N35</f>
        <v>0.1648</v>
      </c>
      <c r="O37" s="33">
        <f t="shared" si="17"/>
        <v>9.8199999999999996E-2</v>
      </c>
      <c r="P37" s="33">
        <f>P31+P33+P35</f>
        <v>2.8064</v>
      </c>
      <c r="Q37" s="175">
        <f t="shared" si="2"/>
        <v>2178.4665999999997</v>
      </c>
      <c r="R37" s="47"/>
    </row>
    <row r="38" spans="1:18">
      <c r="A38" s="183"/>
      <c r="B38" s="309"/>
      <c r="C38" s="177" t="s">
        <v>13</v>
      </c>
      <c r="D38" s="111">
        <f t="shared" si="13"/>
        <v>472.03387656819484</v>
      </c>
      <c r="E38" s="54">
        <f t="shared" si="14"/>
        <v>364.78</v>
      </c>
      <c r="F38" s="178">
        <f t="shared" si="0"/>
        <v>836.81387656819481</v>
      </c>
      <c r="G38" s="68">
        <f t="shared" si="15"/>
        <v>2304.8539999999998</v>
      </c>
      <c r="H38" s="68">
        <f t="shared" si="15"/>
        <v>267530.54800000001</v>
      </c>
      <c r="I38" s="63"/>
      <c r="J38" s="178">
        <f t="shared" si="1"/>
        <v>267530.54800000001</v>
      </c>
      <c r="K38" s="68">
        <f t="shared" si="16"/>
        <v>24895.542999999998</v>
      </c>
      <c r="L38" s="54">
        <f t="shared" si="16"/>
        <v>511.459</v>
      </c>
      <c r="M38" s="54"/>
      <c r="N38" s="54">
        <f t="shared" si="17"/>
        <v>13.782</v>
      </c>
      <c r="O38" s="54">
        <f t="shared" si="17"/>
        <v>6.9729999999999999</v>
      </c>
      <c r="P38" s="54">
        <f>P32+P34+P36</f>
        <v>426.16152</v>
      </c>
      <c r="Q38" s="180">
        <f t="shared" si="2"/>
        <v>296526.13439656823</v>
      </c>
      <c r="R38" s="47"/>
    </row>
    <row r="39" spans="1:18">
      <c r="A39" s="310" t="s">
        <v>40</v>
      </c>
      <c r="B39" s="311"/>
      <c r="C39" s="48" t="s">
        <v>11</v>
      </c>
      <c r="D39" s="52">
        <v>0.17330000000000001</v>
      </c>
      <c r="E39" s="128">
        <v>0.13500000000000001</v>
      </c>
      <c r="F39" s="181">
        <f t="shared" si="0"/>
        <v>0.30830000000000002</v>
      </c>
      <c r="G39" s="77"/>
      <c r="H39" s="275"/>
      <c r="I39" s="174"/>
      <c r="J39" s="181">
        <f t="shared" si="1"/>
        <v>0</v>
      </c>
      <c r="K39" s="275"/>
      <c r="L39" s="33"/>
      <c r="M39" s="33"/>
      <c r="N39" s="33"/>
      <c r="O39" s="33"/>
      <c r="P39" s="33"/>
      <c r="Q39" s="175">
        <f t="shared" si="2"/>
        <v>0.30830000000000002</v>
      </c>
      <c r="R39" s="47"/>
    </row>
    <row r="40" spans="1:18">
      <c r="A40" s="312"/>
      <c r="B40" s="313"/>
      <c r="C40" s="177" t="s">
        <v>13</v>
      </c>
      <c r="D40" s="53">
        <v>163.74227656048888</v>
      </c>
      <c r="E40" s="129">
        <v>103.95099999999999</v>
      </c>
      <c r="F40" s="178">
        <f t="shared" si="0"/>
        <v>267.69327656048887</v>
      </c>
      <c r="G40" s="78"/>
      <c r="H40" s="276"/>
      <c r="I40" s="179"/>
      <c r="J40" s="178">
        <f t="shared" si="1"/>
        <v>0</v>
      </c>
      <c r="K40" s="276"/>
      <c r="L40" s="54"/>
      <c r="M40" s="54"/>
      <c r="N40" s="54"/>
      <c r="O40" s="54"/>
      <c r="P40" s="54"/>
      <c r="Q40" s="180">
        <f t="shared" si="2"/>
        <v>267.69327656048887</v>
      </c>
      <c r="R40" s="47"/>
    </row>
    <row r="41" spans="1:18">
      <c r="A41" s="310" t="s">
        <v>41</v>
      </c>
      <c r="B41" s="311"/>
      <c r="C41" s="48" t="s">
        <v>11</v>
      </c>
      <c r="D41" s="52">
        <v>2.1</v>
      </c>
      <c r="E41" s="128"/>
      <c r="F41" s="181">
        <f t="shared" si="0"/>
        <v>2.1</v>
      </c>
      <c r="G41" s="77">
        <v>0.38019999999999998</v>
      </c>
      <c r="H41" s="275"/>
      <c r="I41" s="174"/>
      <c r="J41" s="181">
        <f t="shared" si="1"/>
        <v>0</v>
      </c>
      <c r="K41" s="275"/>
      <c r="L41" s="33">
        <v>-1.0999999999999999E-2</v>
      </c>
      <c r="M41" s="33"/>
      <c r="N41" s="33"/>
      <c r="O41" s="33"/>
      <c r="P41" s="33"/>
      <c r="Q41" s="175">
        <f t="shared" si="2"/>
        <v>2.4691999999999998</v>
      </c>
      <c r="R41" s="47"/>
    </row>
    <row r="42" spans="1:18">
      <c r="A42" s="312"/>
      <c r="B42" s="313"/>
      <c r="C42" s="177" t="s">
        <v>13</v>
      </c>
      <c r="D42" s="53">
        <v>2160.900350517722</v>
      </c>
      <c r="E42" s="129"/>
      <c r="F42" s="178">
        <f t="shared" si="0"/>
        <v>2160.900350517722</v>
      </c>
      <c r="G42" s="78">
        <v>72.552000000000007</v>
      </c>
      <c r="H42" s="276"/>
      <c r="I42" s="179"/>
      <c r="J42" s="178">
        <f t="shared" si="1"/>
        <v>0</v>
      </c>
      <c r="K42" s="276"/>
      <c r="L42" s="54">
        <v>-0.92400000000000004</v>
      </c>
      <c r="M42" s="54"/>
      <c r="N42" s="54"/>
      <c r="O42" s="54"/>
      <c r="P42" s="54"/>
      <c r="Q42" s="180">
        <f t="shared" si="2"/>
        <v>2232.5283505177222</v>
      </c>
      <c r="R42" s="47"/>
    </row>
    <row r="43" spans="1:18">
      <c r="A43" s="310" t="s">
        <v>42</v>
      </c>
      <c r="B43" s="311"/>
      <c r="C43" s="48" t="s">
        <v>11</v>
      </c>
      <c r="D43" s="52"/>
      <c r="E43" s="128"/>
      <c r="F43" s="181">
        <f t="shared" si="0"/>
        <v>0</v>
      </c>
      <c r="G43" s="77"/>
      <c r="H43" s="275"/>
      <c r="I43" s="174"/>
      <c r="J43" s="181">
        <f t="shared" si="1"/>
        <v>0</v>
      </c>
      <c r="K43" s="275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129"/>
      <c r="F44" s="178">
        <f t="shared" si="0"/>
        <v>0</v>
      </c>
      <c r="G44" s="78"/>
      <c r="H44" s="276"/>
      <c r="I44" s="179"/>
      <c r="J44" s="178">
        <f t="shared" si="1"/>
        <v>0</v>
      </c>
      <c r="K44" s="276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128">
        <v>8.0000000000000004E-4</v>
      </c>
      <c r="F45" s="181">
        <f t="shared" si="0"/>
        <v>8.0000000000000004E-4</v>
      </c>
      <c r="G45" s="77">
        <v>2.8500000000000001E-2</v>
      </c>
      <c r="H45" s="275">
        <v>9.5999999999999992E-3</v>
      </c>
      <c r="I45" s="174"/>
      <c r="J45" s="181">
        <f t="shared" si="1"/>
        <v>9.5999999999999992E-3</v>
      </c>
      <c r="K45" s="275">
        <v>2.7000000000000001E-3</v>
      </c>
      <c r="L45" s="33">
        <v>4.4999999999999997E-3</v>
      </c>
      <c r="M45" s="33"/>
      <c r="N45" s="33"/>
      <c r="O45" s="33"/>
      <c r="P45" s="33"/>
      <c r="Q45" s="175">
        <f t="shared" si="2"/>
        <v>4.6099999999999995E-2</v>
      </c>
      <c r="R45" s="47"/>
    </row>
    <row r="46" spans="1:18">
      <c r="A46" s="312"/>
      <c r="B46" s="313"/>
      <c r="C46" s="177" t="s">
        <v>13</v>
      </c>
      <c r="D46" s="53"/>
      <c r="E46" s="129">
        <v>1.68</v>
      </c>
      <c r="F46" s="178">
        <f t="shared" si="0"/>
        <v>1.68</v>
      </c>
      <c r="G46" s="78">
        <v>28.704000000000001</v>
      </c>
      <c r="H46" s="276">
        <v>9.1140000000000008</v>
      </c>
      <c r="I46" s="179"/>
      <c r="J46" s="178">
        <f t="shared" si="1"/>
        <v>9.1140000000000008</v>
      </c>
      <c r="K46" s="276">
        <v>2.41</v>
      </c>
      <c r="L46" s="54">
        <v>19.687999999999999</v>
      </c>
      <c r="M46" s="54"/>
      <c r="N46" s="54"/>
      <c r="O46" s="54"/>
      <c r="P46" s="54"/>
      <c r="Q46" s="180">
        <f t="shared" si="2"/>
        <v>61.596000000000004</v>
      </c>
      <c r="R46" s="47"/>
    </row>
    <row r="47" spans="1:18">
      <c r="A47" s="310" t="s">
        <v>44</v>
      </c>
      <c r="B47" s="311"/>
      <c r="C47" s="48" t="s">
        <v>11</v>
      </c>
      <c r="D47" s="52"/>
      <c r="E47" s="128">
        <v>4.7000000000000002E-3</v>
      </c>
      <c r="F47" s="181">
        <f t="shared" si="0"/>
        <v>4.7000000000000002E-3</v>
      </c>
      <c r="G47" s="77">
        <v>0.04</v>
      </c>
      <c r="H47" s="275">
        <v>7.7999999999999996E-3</v>
      </c>
      <c r="I47" s="174"/>
      <c r="J47" s="181">
        <f t="shared" si="1"/>
        <v>7.7999999999999996E-3</v>
      </c>
      <c r="K47" s="275"/>
      <c r="L47" s="33">
        <v>1E-3</v>
      </c>
      <c r="M47" s="33"/>
      <c r="N47" s="33"/>
      <c r="O47" s="33"/>
      <c r="P47" s="33"/>
      <c r="Q47" s="175">
        <f t="shared" si="2"/>
        <v>5.3500000000000006E-2</v>
      </c>
      <c r="R47" s="47"/>
    </row>
    <row r="48" spans="1:18">
      <c r="A48" s="312"/>
      <c r="B48" s="313"/>
      <c r="C48" s="177" t="s">
        <v>13</v>
      </c>
      <c r="D48" s="53"/>
      <c r="E48" s="129">
        <v>1.7430000000000001</v>
      </c>
      <c r="F48" s="178">
        <f t="shared" si="0"/>
        <v>1.7430000000000001</v>
      </c>
      <c r="G48" s="78">
        <v>4.2</v>
      </c>
      <c r="H48" s="276">
        <v>10.898999999999999</v>
      </c>
      <c r="I48" s="179"/>
      <c r="J48" s="178">
        <f t="shared" si="1"/>
        <v>10.898999999999999</v>
      </c>
      <c r="K48" s="276"/>
      <c r="L48" s="54">
        <v>0.63</v>
      </c>
      <c r="M48" s="54"/>
      <c r="N48" s="54"/>
      <c r="O48" s="54"/>
      <c r="P48" s="54"/>
      <c r="Q48" s="180">
        <f t="shared" si="2"/>
        <v>17.471999999999998</v>
      </c>
      <c r="R48" s="47"/>
    </row>
    <row r="49" spans="1:18">
      <c r="A49" s="310" t="s">
        <v>45</v>
      </c>
      <c r="B49" s="311"/>
      <c r="C49" s="48" t="s">
        <v>11</v>
      </c>
      <c r="D49" s="52"/>
      <c r="E49" s="128">
        <v>0.13</v>
      </c>
      <c r="F49" s="181">
        <f t="shared" si="0"/>
        <v>0.13</v>
      </c>
      <c r="G49" s="77">
        <v>0</v>
      </c>
      <c r="H49" s="275">
        <v>940.25699999999995</v>
      </c>
      <c r="I49" s="174"/>
      <c r="J49" s="181">
        <f t="shared" si="1"/>
        <v>940.25699999999995</v>
      </c>
      <c r="K49" s="275">
        <v>91.649000000000001</v>
      </c>
      <c r="L49" s="33">
        <v>2E-3</v>
      </c>
      <c r="M49" s="33"/>
      <c r="N49" s="33"/>
      <c r="O49" s="33"/>
      <c r="P49" s="33"/>
      <c r="Q49" s="175">
        <f t="shared" si="2"/>
        <v>1032.038</v>
      </c>
      <c r="R49" s="47"/>
    </row>
    <row r="50" spans="1:18">
      <c r="A50" s="312"/>
      <c r="B50" s="313"/>
      <c r="C50" s="177" t="s">
        <v>13</v>
      </c>
      <c r="D50" s="53"/>
      <c r="E50" s="129">
        <v>45.884999999999998</v>
      </c>
      <c r="F50" s="178">
        <f t="shared" si="0"/>
        <v>45.884999999999998</v>
      </c>
      <c r="G50" s="78">
        <v>1.208</v>
      </c>
      <c r="H50" s="276">
        <v>79772.144</v>
      </c>
      <c r="I50" s="179"/>
      <c r="J50" s="178">
        <f t="shared" si="1"/>
        <v>79772.144</v>
      </c>
      <c r="K50" s="276">
        <v>6347.5209999999997</v>
      </c>
      <c r="L50" s="54">
        <v>0.48299999999999998</v>
      </c>
      <c r="M50" s="54"/>
      <c r="N50" s="54"/>
      <c r="O50" s="54"/>
      <c r="P50" s="54"/>
      <c r="Q50" s="180">
        <f t="shared" si="2"/>
        <v>86167.24099999998</v>
      </c>
      <c r="R50" s="47"/>
    </row>
    <row r="51" spans="1:18">
      <c r="A51" s="310" t="s">
        <v>46</v>
      </c>
      <c r="B51" s="311"/>
      <c r="C51" s="48" t="s">
        <v>11</v>
      </c>
      <c r="D51" s="52"/>
      <c r="E51" s="128">
        <v>0.372</v>
      </c>
      <c r="F51" s="181">
        <f t="shared" si="0"/>
        <v>0.372</v>
      </c>
      <c r="G51" s="77"/>
      <c r="H51" s="275"/>
      <c r="I51" s="174"/>
      <c r="J51" s="181">
        <f t="shared" si="1"/>
        <v>0</v>
      </c>
      <c r="K51" s="275">
        <v>6.6449999999999996</v>
      </c>
      <c r="L51" s="33"/>
      <c r="M51" s="33"/>
      <c r="N51" s="33"/>
      <c r="O51" s="33"/>
      <c r="P51" s="33"/>
      <c r="Q51" s="175">
        <f t="shared" si="2"/>
        <v>7.0169999999999995</v>
      </c>
      <c r="R51" s="47"/>
    </row>
    <row r="52" spans="1:18">
      <c r="A52" s="312"/>
      <c r="B52" s="313"/>
      <c r="C52" s="177" t="s">
        <v>13</v>
      </c>
      <c r="D52" s="53"/>
      <c r="E52" s="129">
        <v>180.46</v>
      </c>
      <c r="F52" s="178">
        <f t="shared" si="0"/>
        <v>180.46</v>
      </c>
      <c r="G52" s="78"/>
      <c r="H52" s="276"/>
      <c r="I52" s="179"/>
      <c r="J52" s="178">
        <f t="shared" si="1"/>
        <v>0</v>
      </c>
      <c r="K52" s="276">
        <v>1879.605</v>
      </c>
      <c r="L52" s="54"/>
      <c r="M52" s="54"/>
      <c r="N52" s="54"/>
      <c r="O52" s="54"/>
      <c r="P52" s="54"/>
      <c r="Q52" s="180">
        <f t="shared" si="2"/>
        <v>2060.0650000000001</v>
      </c>
      <c r="R52" s="47"/>
    </row>
    <row r="53" spans="1:18">
      <c r="A53" s="310" t="s">
        <v>47</v>
      </c>
      <c r="B53" s="311"/>
      <c r="C53" s="48" t="s">
        <v>11</v>
      </c>
      <c r="D53" s="52">
        <v>0.17319999999999999</v>
      </c>
      <c r="E53" s="128">
        <v>2.8500000000000001E-2</v>
      </c>
      <c r="F53" s="181">
        <f t="shared" si="0"/>
        <v>0.20169999999999999</v>
      </c>
      <c r="G53" s="77">
        <v>3.2275</v>
      </c>
      <c r="H53" s="275">
        <v>4.4455</v>
      </c>
      <c r="I53" s="174"/>
      <c r="J53" s="181">
        <f t="shared" si="1"/>
        <v>4.4455</v>
      </c>
      <c r="K53" s="275">
        <v>0.64590000000000003</v>
      </c>
      <c r="L53" s="33">
        <v>0.46829999999999999</v>
      </c>
      <c r="M53" s="33"/>
      <c r="N53" s="33"/>
      <c r="O53" s="33"/>
      <c r="P53" s="33"/>
      <c r="Q53" s="175">
        <f t="shared" si="2"/>
        <v>8.9888999999999992</v>
      </c>
      <c r="R53" s="47"/>
    </row>
    <row r="54" spans="1:18">
      <c r="A54" s="312"/>
      <c r="B54" s="313"/>
      <c r="C54" s="177" t="s">
        <v>13</v>
      </c>
      <c r="D54" s="53">
        <v>176.69402866138105</v>
      </c>
      <c r="E54" s="129">
        <v>29.82</v>
      </c>
      <c r="F54" s="178">
        <f t="shared" si="0"/>
        <v>206.51402866138105</v>
      </c>
      <c r="G54" s="78">
        <v>2399.9279999999999</v>
      </c>
      <c r="H54" s="276">
        <v>3982.009</v>
      </c>
      <c r="I54" s="179"/>
      <c r="J54" s="178">
        <f t="shared" si="1"/>
        <v>3982.009</v>
      </c>
      <c r="K54" s="276">
        <v>256.78899999999999</v>
      </c>
      <c r="L54" s="54">
        <v>491.50799999999998</v>
      </c>
      <c r="M54" s="54"/>
      <c r="N54" s="54"/>
      <c r="O54" s="54"/>
      <c r="P54" s="92"/>
      <c r="Q54" s="180">
        <f t="shared" si="2"/>
        <v>7336.74802866138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0.74170000000000003</v>
      </c>
      <c r="E55" s="128"/>
      <c r="F55" s="181">
        <f t="shared" si="0"/>
        <v>0.74170000000000003</v>
      </c>
      <c r="G55" s="77"/>
      <c r="H55" s="275">
        <v>1.1999999999999999E-3</v>
      </c>
      <c r="I55" s="174"/>
      <c r="J55" s="181">
        <f t="shared" si="1"/>
        <v>1.1999999999999999E-3</v>
      </c>
      <c r="K55" s="275"/>
      <c r="L55" s="33">
        <v>6.4000000000000003E-3</v>
      </c>
      <c r="M55" s="33"/>
      <c r="N55" s="33"/>
      <c r="O55" s="33"/>
      <c r="P55" s="33"/>
      <c r="Q55" s="175">
        <f t="shared" si="2"/>
        <v>0.74929999999999997</v>
      </c>
      <c r="R55" s="47"/>
    </row>
    <row r="56" spans="1:18">
      <c r="A56" s="176" t="s">
        <v>36</v>
      </c>
      <c r="B56" s="307"/>
      <c r="C56" s="177" t="s">
        <v>13</v>
      </c>
      <c r="D56" s="53">
        <v>700.41311361338751</v>
      </c>
      <c r="E56" s="129"/>
      <c r="F56" s="178">
        <f t="shared" si="0"/>
        <v>700.41311361338751</v>
      </c>
      <c r="G56" s="78"/>
      <c r="H56" s="276">
        <v>0.41</v>
      </c>
      <c r="I56" s="179"/>
      <c r="J56" s="178">
        <f t="shared" si="1"/>
        <v>0.41</v>
      </c>
      <c r="K56" s="276"/>
      <c r="L56" s="54">
        <v>8.484</v>
      </c>
      <c r="M56" s="54"/>
      <c r="N56" s="54"/>
      <c r="O56" s="54"/>
      <c r="P56" s="54"/>
      <c r="Q56" s="180">
        <f t="shared" si="2"/>
        <v>709.30711361338751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0.16300000000000001</v>
      </c>
      <c r="E57" s="128">
        <v>2.8E-3</v>
      </c>
      <c r="F57" s="181">
        <f t="shared" si="0"/>
        <v>0.1658</v>
      </c>
      <c r="G57" s="77"/>
      <c r="H57" s="275"/>
      <c r="I57" s="174"/>
      <c r="J57" s="181">
        <f t="shared" si="1"/>
        <v>0</v>
      </c>
      <c r="K57" s="275"/>
      <c r="L57" s="33">
        <v>-2.8500000000000001E-2</v>
      </c>
      <c r="M57" s="33"/>
      <c r="N57" s="33"/>
      <c r="O57" s="33"/>
      <c r="P57" s="33"/>
      <c r="Q57" s="175">
        <f t="shared" si="2"/>
        <v>0.13730000000000001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14.910002418538216</v>
      </c>
      <c r="E58" s="129">
        <v>2.94</v>
      </c>
      <c r="F58" s="178">
        <f t="shared" si="0"/>
        <v>17.850002418538217</v>
      </c>
      <c r="G58" s="78"/>
      <c r="H58" s="276"/>
      <c r="I58" s="179"/>
      <c r="J58" s="178">
        <f t="shared" si="1"/>
        <v>0</v>
      </c>
      <c r="K58" s="276"/>
      <c r="L58" s="54">
        <v>40.488</v>
      </c>
      <c r="M58" s="54"/>
      <c r="N58" s="54"/>
      <c r="O58" s="54"/>
      <c r="P58" s="54"/>
      <c r="Q58" s="180">
        <f t="shared" si="2"/>
        <v>58.338002418538217</v>
      </c>
      <c r="R58" s="47"/>
    </row>
    <row r="59" spans="1:18">
      <c r="A59" s="27"/>
      <c r="B59" s="308" t="s">
        <v>19</v>
      </c>
      <c r="C59" s="48" t="s">
        <v>11</v>
      </c>
      <c r="D59" s="110">
        <f t="shared" ref="D59:D60" si="18">D55+D57</f>
        <v>0.90470000000000006</v>
      </c>
      <c r="E59" s="33">
        <f t="shared" ref="E59:E60" si="19">+E55+E57</f>
        <v>2.8E-3</v>
      </c>
      <c r="F59" s="181">
        <f t="shared" si="0"/>
        <v>0.90750000000000008</v>
      </c>
      <c r="G59" s="49"/>
      <c r="H59" s="49">
        <f t="shared" ref="H59:H60" si="20">+H55+H57</f>
        <v>1.1999999999999999E-3</v>
      </c>
      <c r="I59" s="50"/>
      <c r="J59" s="181">
        <f t="shared" si="1"/>
        <v>1.1999999999999999E-3</v>
      </c>
      <c r="K59" s="49"/>
      <c r="L59" s="33">
        <f t="shared" ref="L59:L60" si="21">+L55+L57</f>
        <v>-2.2100000000000002E-2</v>
      </c>
      <c r="M59" s="33"/>
      <c r="N59" s="33"/>
      <c r="O59" s="33"/>
      <c r="P59" s="33"/>
      <c r="Q59" s="175">
        <f t="shared" si="2"/>
        <v>0.88660000000000005</v>
      </c>
      <c r="R59" s="47"/>
    </row>
    <row r="60" spans="1:18">
      <c r="A60" s="183"/>
      <c r="B60" s="309"/>
      <c r="C60" s="177" t="s">
        <v>13</v>
      </c>
      <c r="D60" s="111">
        <f t="shared" si="18"/>
        <v>715.32311603192568</v>
      </c>
      <c r="E60" s="54">
        <f t="shared" si="19"/>
        <v>2.94</v>
      </c>
      <c r="F60" s="178">
        <f t="shared" si="0"/>
        <v>718.26311603192573</v>
      </c>
      <c r="G60" s="68"/>
      <c r="H60" s="68">
        <f t="shared" si="20"/>
        <v>0.41</v>
      </c>
      <c r="I60" s="63"/>
      <c r="J60" s="178">
        <f t="shared" si="1"/>
        <v>0.41</v>
      </c>
      <c r="K60" s="68"/>
      <c r="L60" s="54">
        <f t="shared" si="21"/>
        <v>48.972000000000001</v>
      </c>
      <c r="M60" s="54"/>
      <c r="N60" s="54"/>
      <c r="O60" s="54"/>
      <c r="P60" s="54"/>
      <c r="Q60" s="180">
        <f t="shared" si="2"/>
        <v>767.64511603192568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9.5899999999999999E-2</v>
      </c>
      <c r="E61" s="128"/>
      <c r="F61" s="181">
        <f t="shared" si="0"/>
        <v>9.5899999999999999E-2</v>
      </c>
      <c r="G61" s="77">
        <v>0.2087</v>
      </c>
      <c r="H61" s="275">
        <v>7.766</v>
      </c>
      <c r="I61" s="174"/>
      <c r="J61" s="181">
        <f t="shared" si="1"/>
        <v>7.766</v>
      </c>
      <c r="K61" s="275"/>
      <c r="L61" s="33">
        <v>1.4E-2</v>
      </c>
      <c r="M61" s="33"/>
      <c r="N61" s="33"/>
      <c r="O61" s="33"/>
      <c r="P61" s="33"/>
      <c r="Q61" s="175">
        <f t="shared" si="2"/>
        <v>8.0846</v>
      </c>
      <c r="R61" s="47"/>
    </row>
    <row r="62" spans="1:18">
      <c r="A62" s="176" t="s">
        <v>51</v>
      </c>
      <c r="B62" s="307"/>
      <c r="C62" s="177" t="s">
        <v>13</v>
      </c>
      <c r="D62" s="53">
        <v>5.5072508933262636</v>
      </c>
      <c r="E62" s="129"/>
      <c r="F62" s="178">
        <f t="shared" si="0"/>
        <v>5.5072508933262636</v>
      </c>
      <c r="G62" s="78">
        <v>15.906000000000001</v>
      </c>
      <c r="H62" s="276">
        <v>223.34800000000001</v>
      </c>
      <c r="I62" s="179"/>
      <c r="J62" s="178">
        <f t="shared" si="1"/>
        <v>223.34800000000001</v>
      </c>
      <c r="K62" s="276"/>
      <c r="L62" s="54">
        <v>2.52</v>
      </c>
      <c r="M62" s="54"/>
      <c r="N62" s="54"/>
      <c r="O62" s="54"/>
      <c r="P62" s="54"/>
      <c r="Q62" s="180">
        <f t="shared" si="2"/>
        <v>247.2812508933263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/>
      <c r="E63" s="128">
        <v>4.13</v>
      </c>
      <c r="F63" s="181">
        <f t="shared" si="0"/>
        <v>4.13</v>
      </c>
      <c r="G63" s="77">
        <v>509.4316</v>
      </c>
      <c r="H63" s="275"/>
      <c r="I63" s="174"/>
      <c r="J63" s="181">
        <f t="shared" si="1"/>
        <v>0</v>
      </c>
      <c r="K63" s="275"/>
      <c r="L63" s="33"/>
      <c r="M63" s="33"/>
      <c r="N63" s="33"/>
      <c r="O63" s="33"/>
      <c r="P63" s="33"/>
      <c r="Q63" s="175">
        <f t="shared" si="2"/>
        <v>513.5616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/>
      <c r="E64" s="129">
        <v>339.83300000000003</v>
      </c>
      <c r="F64" s="178">
        <f t="shared" si="0"/>
        <v>339.83300000000003</v>
      </c>
      <c r="G64" s="78">
        <v>66023.744999999995</v>
      </c>
      <c r="H64" s="276"/>
      <c r="I64" s="179"/>
      <c r="J64" s="178">
        <f t="shared" si="1"/>
        <v>0</v>
      </c>
      <c r="K64" s="276"/>
      <c r="L64" s="54"/>
      <c r="M64" s="54"/>
      <c r="N64" s="54"/>
      <c r="O64" s="54"/>
      <c r="P64" s="54"/>
      <c r="Q64" s="180">
        <f t="shared" si="2"/>
        <v>66363.577999999994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128"/>
      <c r="F65" s="181">
        <f t="shared" si="0"/>
        <v>0</v>
      </c>
      <c r="G65" s="77">
        <v>295.06799999999998</v>
      </c>
      <c r="H65" s="275">
        <v>0.112</v>
      </c>
      <c r="I65" s="174"/>
      <c r="J65" s="181">
        <f t="shared" si="1"/>
        <v>0.112</v>
      </c>
      <c r="K65" s="275">
        <v>1E-3</v>
      </c>
      <c r="L65" s="33"/>
      <c r="M65" s="33"/>
      <c r="N65" s="33"/>
      <c r="O65" s="33"/>
      <c r="P65" s="33"/>
      <c r="Q65" s="175">
        <f t="shared" si="2"/>
        <v>295.18099999999998</v>
      </c>
      <c r="R65" s="47"/>
    </row>
    <row r="66" spans="1:18">
      <c r="A66" s="176" t="s">
        <v>18</v>
      </c>
      <c r="B66" s="307"/>
      <c r="C66" s="177" t="s">
        <v>13</v>
      </c>
      <c r="D66" s="53"/>
      <c r="E66" s="129"/>
      <c r="F66" s="178">
        <f t="shared" si="0"/>
        <v>0</v>
      </c>
      <c r="G66" s="78">
        <v>38929.088000000003</v>
      </c>
      <c r="H66" s="276">
        <v>23.625</v>
      </c>
      <c r="I66" s="179"/>
      <c r="J66" s="178">
        <f t="shared" si="1"/>
        <v>23.625</v>
      </c>
      <c r="K66" s="276">
        <v>1.575</v>
      </c>
      <c r="L66" s="54"/>
      <c r="M66" s="54"/>
      <c r="N66" s="54"/>
      <c r="O66" s="54"/>
      <c r="P66" s="54"/>
      <c r="Q66" s="180">
        <f t="shared" si="2"/>
        <v>38954.288</v>
      </c>
      <c r="R66" s="47"/>
    </row>
    <row r="67" spans="1:18">
      <c r="A67" s="27"/>
      <c r="B67" s="46" t="s">
        <v>15</v>
      </c>
      <c r="C67" s="48" t="s">
        <v>11</v>
      </c>
      <c r="D67" s="52"/>
      <c r="E67" s="128">
        <v>0.28799999999999998</v>
      </c>
      <c r="F67" s="181">
        <f t="shared" si="0"/>
        <v>0.28799999999999998</v>
      </c>
      <c r="G67" s="77">
        <v>59.857100000000003</v>
      </c>
      <c r="H67" s="275"/>
      <c r="I67" s="174"/>
      <c r="J67" s="181">
        <f t="shared" si="1"/>
        <v>0</v>
      </c>
      <c r="K67" s="275">
        <v>0.47070000000000001</v>
      </c>
      <c r="L67" s="33">
        <v>3.0000000000000001E-3</v>
      </c>
      <c r="M67" s="33"/>
      <c r="N67" s="33"/>
      <c r="O67" s="33"/>
      <c r="P67" s="33"/>
      <c r="Q67" s="175">
        <f t="shared" si="2"/>
        <v>60.6188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/>
      <c r="E68" s="130">
        <v>6.0839999999999996</v>
      </c>
      <c r="F68" s="185">
        <f t="shared" si="0"/>
        <v>6.0839999999999996</v>
      </c>
      <c r="G68" s="79">
        <v>9172.3850000000002</v>
      </c>
      <c r="H68" s="279"/>
      <c r="I68" s="186"/>
      <c r="J68" s="185">
        <f t="shared" si="1"/>
        <v>0</v>
      </c>
      <c r="K68" s="279">
        <v>11.39</v>
      </c>
      <c r="L68" s="37">
        <v>7.875</v>
      </c>
      <c r="M68" s="37"/>
      <c r="N68" s="37"/>
      <c r="O68" s="37"/>
      <c r="P68" s="37"/>
      <c r="Q68" s="187">
        <f t="shared" si="2"/>
        <v>9197.7340000000004</v>
      </c>
      <c r="R68" s="47"/>
    </row>
    <row r="69" spans="1:18">
      <c r="D69" s="112"/>
      <c r="E69" s="47"/>
      <c r="F69" s="137"/>
      <c r="G69" s="137"/>
      <c r="H69" s="137"/>
      <c r="I69" s="64"/>
      <c r="J69" s="137"/>
      <c r="K69" s="137"/>
      <c r="Q69" s="67"/>
    </row>
    <row r="70" spans="1:18">
      <c r="D70" s="112"/>
      <c r="E70" s="47"/>
      <c r="F70" s="137"/>
      <c r="G70" s="137"/>
      <c r="H70" s="137"/>
      <c r="I70" s="64"/>
      <c r="J70" s="137"/>
      <c r="K70" s="137"/>
      <c r="Q70" s="67"/>
    </row>
    <row r="71" spans="1:18">
      <c r="D71" s="112"/>
      <c r="E71" s="47"/>
      <c r="F71" s="137"/>
      <c r="G71" s="137"/>
      <c r="H71" s="137"/>
      <c r="I71" s="64"/>
      <c r="J71" s="137"/>
      <c r="K71" s="137"/>
      <c r="Q71" s="67"/>
    </row>
    <row r="72" spans="1:18">
      <c r="D72" s="112"/>
      <c r="E72" s="47"/>
      <c r="F72" s="137"/>
      <c r="G72" s="137"/>
      <c r="H72" s="137"/>
      <c r="I72" s="64"/>
      <c r="J72" s="137"/>
      <c r="K72" s="137"/>
      <c r="Q72" s="67"/>
    </row>
    <row r="73" spans="1:18">
      <c r="D73" s="112"/>
      <c r="E73" s="47"/>
      <c r="F73" s="137"/>
      <c r="G73" s="137"/>
      <c r="H73" s="137"/>
      <c r="I73" s="64"/>
      <c r="J73" s="137"/>
      <c r="K73" s="137"/>
      <c r="Q73" s="67"/>
    </row>
    <row r="74" spans="1:18" ht="19.5" thickBot="1">
      <c r="A74" s="35"/>
      <c r="B74" s="164" t="s">
        <v>105</v>
      </c>
      <c r="C74" s="35"/>
      <c r="D74" s="113"/>
      <c r="E74" s="131"/>
      <c r="F74" s="188"/>
      <c r="G74" s="137"/>
      <c r="H74" s="137"/>
      <c r="I74" s="65"/>
      <c r="J74" s="188"/>
      <c r="K74" s="280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f t="shared" ref="D76:D77" si="22">D61+D63+D65+D67</f>
        <v>9.5899999999999999E-2</v>
      </c>
      <c r="E76" s="33">
        <f t="shared" ref="E76:E77" si="23">+E61+E63+E65+E67</f>
        <v>4.4180000000000001</v>
      </c>
      <c r="F76" s="191">
        <f t="shared" ref="F76:F133" si="24">SUM(D76:E76)</f>
        <v>4.5139000000000005</v>
      </c>
      <c r="G76" s="49">
        <f t="shared" ref="G76:H77" si="25">+G61+G63+G65+G67</f>
        <v>864.56539999999995</v>
      </c>
      <c r="H76" s="49">
        <f t="shared" si="25"/>
        <v>7.8780000000000001</v>
      </c>
      <c r="I76" s="50"/>
      <c r="J76" s="191">
        <f t="shared" ref="J76:J133" si="26">SUM(H76:I76)</f>
        <v>7.8780000000000001</v>
      </c>
      <c r="K76" s="49">
        <f t="shared" ref="K76:L77" si="27">+K61+K63+K65+K67</f>
        <v>0.47170000000000001</v>
      </c>
      <c r="L76" s="33">
        <f t="shared" si="27"/>
        <v>1.7000000000000001E-2</v>
      </c>
      <c r="M76" s="33"/>
      <c r="N76" s="33"/>
      <c r="O76" s="33"/>
      <c r="P76" s="33"/>
      <c r="Q76" s="175">
        <f t="shared" ref="Q76:Q140" si="28">SUM(F76:G76,J76:P76)</f>
        <v>877.44600000000014</v>
      </c>
      <c r="R76" s="27"/>
    </row>
    <row r="77" spans="1:18">
      <c r="A77" s="166" t="s">
        <v>53</v>
      </c>
      <c r="B77" s="309"/>
      <c r="C77" s="192" t="s">
        <v>13</v>
      </c>
      <c r="D77" s="111">
        <f t="shared" si="22"/>
        <v>5.5072508933262636</v>
      </c>
      <c r="E77" s="54">
        <f t="shared" si="23"/>
        <v>345.91700000000003</v>
      </c>
      <c r="F77" s="193">
        <f t="shared" si="24"/>
        <v>351.4242508933263</v>
      </c>
      <c r="G77" s="68">
        <f t="shared" si="25"/>
        <v>114141.124</v>
      </c>
      <c r="H77" s="68">
        <f t="shared" si="25"/>
        <v>246.97300000000001</v>
      </c>
      <c r="I77" s="63"/>
      <c r="J77" s="193">
        <f t="shared" si="26"/>
        <v>246.97300000000001</v>
      </c>
      <c r="K77" s="68">
        <f t="shared" si="27"/>
        <v>12.965</v>
      </c>
      <c r="L77" s="54">
        <f t="shared" si="27"/>
        <v>10.395</v>
      </c>
      <c r="M77" s="54"/>
      <c r="N77" s="54"/>
      <c r="O77" s="54"/>
      <c r="P77" s="54"/>
      <c r="Q77" s="180">
        <f t="shared" si="28"/>
        <v>114762.88125089332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0.86739999999999995</v>
      </c>
      <c r="E78" s="128">
        <v>0.38490000000000002</v>
      </c>
      <c r="F78" s="191">
        <f t="shared" si="24"/>
        <v>1.2523</v>
      </c>
      <c r="G78" s="138">
        <v>9.9199999999999997E-2</v>
      </c>
      <c r="H78" s="275">
        <v>30.0001</v>
      </c>
      <c r="I78" s="174"/>
      <c r="J78" s="191">
        <f t="shared" si="26"/>
        <v>30.0001</v>
      </c>
      <c r="K78" s="275">
        <v>0.50760000000000005</v>
      </c>
      <c r="L78" s="33">
        <v>9.2299999999999993E-2</v>
      </c>
      <c r="M78" s="33">
        <v>9.4999999999999998E-3</v>
      </c>
      <c r="N78" s="33"/>
      <c r="O78" s="33">
        <v>0.28100000000000003</v>
      </c>
      <c r="P78" s="33">
        <v>0.18459999999999999</v>
      </c>
      <c r="Q78" s="175">
        <f t="shared" si="28"/>
        <v>32.426600000000008</v>
      </c>
      <c r="R78" s="27"/>
    </row>
    <row r="79" spans="1:18">
      <c r="A79" s="176" t="s">
        <v>31</v>
      </c>
      <c r="B79" s="307"/>
      <c r="C79" s="192" t="s">
        <v>13</v>
      </c>
      <c r="D79" s="53">
        <v>1792.2904407258366</v>
      </c>
      <c r="E79" s="129">
        <v>724.12099999999998</v>
      </c>
      <c r="F79" s="193">
        <f t="shared" si="24"/>
        <v>2516.4114407258367</v>
      </c>
      <c r="G79" s="78">
        <v>297.10300000000001</v>
      </c>
      <c r="H79" s="276">
        <v>27537.598000000002</v>
      </c>
      <c r="I79" s="179"/>
      <c r="J79" s="193">
        <f t="shared" si="26"/>
        <v>27537.598000000002</v>
      </c>
      <c r="K79" s="276">
        <v>578.30999999999995</v>
      </c>
      <c r="L79" s="54">
        <v>163.18100000000001</v>
      </c>
      <c r="M79" s="54">
        <f>7.72*1.08</f>
        <v>8.3376000000000001</v>
      </c>
      <c r="N79" s="54"/>
      <c r="O79" s="54">
        <v>412.66199999999998</v>
      </c>
      <c r="P79" s="54">
        <f>340.06*1.08</f>
        <v>367.26480000000004</v>
      </c>
      <c r="Q79" s="180">
        <f t="shared" si="28"/>
        <v>31880.867840725841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128">
        <v>0.12540000000000001</v>
      </c>
      <c r="F80" s="191">
        <f t="shared" si="24"/>
        <v>0.12540000000000001</v>
      </c>
      <c r="G80" s="77">
        <v>1.34E-2</v>
      </c>
      <c r="H80" s="275">
        <v>4.6794000000000002</v>
      </c>
      <c r="I80" s="174"/>
      <c r="J80" s="191">
        <f t="shared" si="26"/>
        <v>4.6794000000000002</v>
      </c>
      <c r="K80" s="275">
        <v>0.245</v>
      </c>
      <c r="L80" s="33"/>
      <c r="M80" s="33"/>
      <c r="N80" s="33"/>
      <c r="O80" s="33"/>
      <c r="P80" s="33"/>
      <c r="Q80" s="175">
        <f t="shared" si="28"/>
        <v>5.0632000000000001</v>
      </c>
      <c r="R80" s="27"/>
    </row>
    <row r="81" spans="1:18">
      <c r="A81" s="176" t="s">
        <v>0</v>
      </c>
      <c r="B81" s="307"/>
      <c r="C81" s="192" t="s">
        <v>13</v>
      </c>
      <c r="D81" s="53"/>
      <c r="E81" s="129">
        <v>18.783000000000001</v>
      </c>
      <c r="F81" s="193">
        <f t="shared" si="24"/>
        <v>18.783000000000001</v>
      </c>
      <c r="G81" s="78">
        <v>7.0709999999999997</v>
      </c>
      <c r="H81" s="276">
        <v>565.48299999999995</v>
      </c>
      <c r="I81" s="179"/>
      <c r="J81" s="193">
        <f t="shared" si="26"/>
        <v>565.48299999999995</v>
      </c>
      <c r="K81" s="276">
        <v>38.484999999999999</v>
      </c>
      <c r="L81" s="54"/>
      <c r="M81" s="54"/>
      <c r="N81" s="54"/>
      <c r="O81" s="54"/>
      <c r="P81" s="92"/>
      <c r="Q81" s="180">
        <f t="shared" si="28"/>
        <v>629.822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128"/>
      <c r="F82" s="191">
        <f t="shared" si="24"/>
        <v>0</v>
      </c>
      <c r="G82" s="77"/>
      <c r="H82" s="275"/>
      <c r="I82" s="174"/>
      <c r="J82" s="191">
        <f t="shared" si="26"/>
        <v>0</v>
      </c>
      <c r="K82" s="275"/>
      <c r="L82" s="33"/>
      <c r="M82" s="33"/>
      <c r="N82" s="33"/>
      <c r="O82" s="33"/>
      <c r="P82" s="33"/>
      <c r="Q82" s="175">
        <f t="shared" si="28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129"/>
      <c r="F83" s="193">
        <f t="shared" si="24"/>
        <v>0</v>
      </c>
      <c r="G83" s="78"/>
      <c r="H83" s="276"/>
      <c r="I83" s="179"/>
      <c r="J83" s="193">
        <f t="shared" si="26"/>
        <v>0</v>
      </c>
      <c r="K83" s="276"/>
      <c r="L83" s="54"/>
      <c r="M83" s="54"/>
      <c r="N83" s="54"/>
      <c r="O83" s="54"/>
      <c r="P83" s="54"/>
      <c r="Q83" s="180">
        <f t="shared" si="28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128"/>
      <c r="F84" s="191">
        <f t="shared" si="24"/>
        <v>0</v>
      </c>
      <c r="G84" s="77"/>
      <c r="H84" s="275"/>
      <c r="I84" s="174"/>
      <c r="J84" s="191">
        <f t="shared" si="26"/>
        <v>0</v>
      </c>
      <c r="K84" s="275"/>
      <c r="L84" s="33"/>
      <c r="M84" s="33"/>
      <c r="N84" s="33"/>
      <c r="O84" s="33"/>
      <c r="P84" s="33"/>
      <c r="Q84" s="175">
        <f t="shared" si="28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129"/>
      <c r="F85" s="193">
        <f t="shared" si="24"/>
        <v>0</v>
      </c>
      <c r="G85" s="78"/>
      <c r="H85" s="276"/>
      <c r="I85" s="179"/>
      <c r="J85" s="193">
        <f t="shared" si="26"/>
        <v>0</v>
      </c>
      <c r="K85" s="276"/>
      <c r="L85" s="54"/>
      <c r="M85" s="54"/>
      <c r="N85" s="54"/>
      <c r="O85" s="54"/>
      <c r="P85" s="54"/>
      <c r="Q85" s="180">
        <f t="shared" si="28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2.8866000000000001</v>
      </c>
      <c r="E86" s="128">
        <v>3.1574</v>
      </c>
      <c r="F86" s="191">
        <f t="shared" si="24"/>
        <v>6.0440000000000005</v>
      </c>
      <c r="G86" s="77">
        <v>5.0003000000000002</v>
      </c>
      <c r="H86" s="275">
        <v>114.87439999999999</v>
      </c>
      <c r="I86" s="174"/>
      <c r="J86" s="191">
        <f t="shared" si="26"/>
        <v>114.87439999999999</v>
      </c>
      <c r="K86" s="275">
        <v>4.5025000000000004</v>
      </c>
      <c r="L86" s="33">
        <v>4.5214999999999996</v>
      </c>
      <c r="M86" s="33">
        <v>2.8E-3</v>
      </c>
      <c r="N86" s="33"/>
      <c r="O86" s="33">
        <v>1.7547999999999999</v>
      </c>
      <c r="P86" s="33">
        <v>3.1292800000000001</v>
      </c>
      <c r="Q86" s="175">
        <f t="shared" si="28"/>
        <v>139.82957999999999</v>
      </c>
      <c r="R86" s="27"/>
    </row>
    <row r="87" spans="1:18">
      <c r="A87" s="176"/>
      <c r="B87" s="177" t="s">
        <v>63</v>
      </c>
      <c r="C87" s="192" t="s">
        <v>13</v>
      </c>
      <c r="D87" s="53">
        <v>2069.4768356879949</v>
      </c>
      <c r="E87" s="129">
        <v>2341.7049999999999</v>
      </c>
      <c r="F87" s="193">
        <f t="shared" si="24"/>
        <v>4411.1818356879949</v>
      </c>
      <c r="G87" s="78">
        <v>2658.0909999999999</v>
      </c>
      <c r="H87" s="276">
        <v>45686.413</v>
      </c>
      <c r="I87" s="179"/>
      <c r="J87" s="193">
        <f t="shared" si="26"/>
        <v>45686.413</v>
      </c>
      <c r="K87" s="276">
        <v>2356.9879999999998</v>
      </c>
      <c r="L87" s="54">
        <v>2296.3319999999999</v>
      </c>
      <c r="M87" s="54">
        <f>0.84*1.08</f>
        <v>0.90720000000000001</v>
      </c>
      <c r="N87" s="54"/>
      <c r="O87" s="54">
        <v>736.21699999999998</v>
      </c>
      <c r="P87" s="54">
        <f>1315.277*1.08</f>
        <v>1420.4991600000001</v>
      </c>
      <c r="Q87" s="180">
        <f t="shared" si="28"/>
        <v>59566.629195687994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f t="shared" ref="D88:D89" si="29">D78+D80+D82+D84+D86</f>
        <v>3.754</v>
      </c>
      <c r="E88" s="33">
        <f t="shared" ref="E88:E89" si="30">+E78+E80+E82+E84+E86</f>
        <v>3.6677</v>
      </c>
      <c r="F88" s="191">
        <f t="shared" si="24"/>
        <v>7.4216999999999995</v>
      </c>
      <c r="G88" s="49">
        <f t="shared" ref="G88:G89" si="31">+G78+G80+G82+G84+G86</f>
        <v>5.1128999999999998</v>
      </c>
      <c r="H88" s="49">
        <f>+H78+H80+H82+H84+H86</f>
        <v>149.5539</v>
      </c>
      <c r="I88" s="50"/>
      <c r="J88" s="191">
        <f t="shared" si="26"/>
        <v>149.5539</v>
      </c>
      <c r="K88" s="49">
        <f t="shared" ref="K88:K89" si="32">+K78+K80+K82+K84+K86</f>
        <v>5.2551000000000005</v>
      </c>
      <c r="L88" s="33">
        <f>+L78+L80+L82+L84+L86</f>
        <v>4.6137999999999995</v>
      </c>
      <c r="M88" s="33">
        <f t="shared" ref="M88:M89" si="33">+M78+M80+M82+M84+M86</f>
        <v>1.23E-2</v>
      </c>
      <c r="N88" s="33"/>
      <c r="O88" s="33">
        <f t="shared" ref="O88:O89" si="34">+O78+O80+O82+O84+O86</f>
        <v>2.0358000000000001</v>
      </c>
      <c r="P88" s="33">
        <f>+P78+P80+P82+P84+P86</f>
        <v>3.3138800000000002</v>
      </c>
      <c r="Q88" s="175">
        <f t="shared" si="28"/>
        <v>177.31938000000002</v>
      </c>
      <c r="R88" s="27"/>
    </row>
    <row r="89" spans="1:18">
      <c r="A89" s="183"/>
      <c r="B89" s="309"/>
      <c r="C89" s="192" t="s">
        <v>13</v>
      </c>
      <c r="D89" s="111">
        <f t="shared" si="29"/>
        <v>3861.7672764138315</v>
      </c>
      <c r="E89" s="54">
        <f t="shared" si="30"/>
        <v>3084.6089999999999</v>
      </c>
      <c r="F89" s="193">
        <f t="shared" si="24"/>
        <v>6946.3762764138319</v>
      </c>
      <c r="G89" s="68">
        <f t="shared" si="31"/>
        <v>2962.2649999999999</v>
      </c>
      <c r="H89" s="68">
        <f>+H79+H81+H83+H85+H87</f>
        <v>73789.494000000006</v>
      </c>
      <c r="I89" s="63"/>
      <c r="J89" s="193">
        <f t="shared" si="26"/>
        <v>73789.494000000006</v>
      </c>
      <c r="K89" s="68">
        <f t="shared" si="32"/>
        <v>2973.7829999999999</v>
      </c>
      <c r="L89" s="54">
        <f>+L79+L81+L83+L85+L87</f>
        <v>2459.5129999999999</v>
      </c>
      <c r="M89" s="54">
        <f t="shared" si="33"/>
        <v>9.2447999999999997</v>
      </c>
      <c r="N89" s="54"/>
      <c r="O89" s="54">
        <f t="shared" si="34"/>
        <v>1148.8789999999999</v>
      </c>
      <c r="P89" s="54">
        <f>+P79+P81+P83+P85+P87</f>
        <v>1787.7639600000002</v>
      </c>
      <c r="Q89" s="180">
        <f t="shared" si="28"/>
        <v>92077.319036413843</v>
      </c>
      <c r="R89" s="27"/>
    </row>
    <row r="90" spans="1:18">
      <c r="A90" s="310" t="s">
        <v>64</v>
      </c>
      <c r="B90" s="311"/>
      <c r="C90" s="32" t="s">
        <v>11</v>
      </c>
      <c r="D90" s="52">
        <v>5.8999999999999999E-3</v>
      </c>
      <c r="E90" s="128">
        <v>0.16880000000000001</v>
      </c>
      <c r="F90" s="191">
        <f t="shared" si="24"/>
        <v>0.17469999999999999</v>
      </c>
      <c r="G90" s="77">
        <v>1.3705000000000001</v>
      </c>
      <c r="H90" s="275">
        <v>1.3422000000000001</v>
      </c>
      <c r="I90" s="174"/>
      <c r="J90" s="191">
        <f t="shared" si="26"/>
        <v>1.3422000000000001</v>
      </c>
      <c r="K90" s="275">
        <v>0.33910000000000001</v>
      </c>
      <c r="L90" s="33">
        <v>2.4704000000000002</v>
      </c>
      <c r="M90" s="33"/>
      <c r="N90" s="33"/>
      <c r="O90" s="33"/>
      <c r="P90" s="33">
        <v>3.3999999999999998E-3</v>
      </c>
      <c r="Q90" s="175">
        <f t="shared" si="28"/>
        <v>5.7003000000000013</v>
      </c>
      <c r="R90" s="27"/>
    </row>
    <row r="91" spans="1:18">
      <c r="A91" s="312"/>
      <c r="B91" s="313"/>
      <c r="C91" s="192" t="s">
        <v>13</v>
      </c>
      <c r="D91" s="53">
        <v>8.463001372775917</v>
      </c>
      <c r="E91" s="129">
        <v>238.95400000000001</v>
      </c>
      <c r="F91" s="193">
        <f t="shared" si="24"/>
        <v>247.41700137277593</v>
      </c>
      <c r="G91" s="78">
        <v>2864.0569999999998</v>
      </c>
      <c r="H91" s="276">
        <v>2403.7689999999998</v>
      </c>
      <c r="I91" s="179"/>
      <c r="J91" s="193">
        <f t="shared" si="26"/>
        <v>2403.7689999999998</v>
      </c>
      <c r="K91" s="276">
        <v>683.798</v>
      </c>
      <c r="L91" s="54">
        <v>3337.0129999999999</v>
      </c>
      <c r="M91" s="54"/>
      <c r="N91" s="54"/>
      <c r="O91" s="54"/>
      <c r="P91" s="54">
        <f>4.85*1.08</f>
        <v>5.2379999999999995</v>
      </c>
      <c r="Q91" s="180">
        <f t="shared" si="28"/>
        <v>9541.2920013727744</v>
      </c>
      <c r="R91" s="27"/>
    </row>
    <row r="92" spans="1:18">
      <c r="A92" s="310" t="s">
        <v>65</v>
      </c>
      <c r="B92" s="311"/>
      <c r="C92" s="32" t="s">
        <v>11</v>
      </c>
      <c r="D92" s="52"/>
      <c r="E92" s="128"/>
      <c r="F92" s="191">
        <f t="shared" si="24"/>
        <v>0</v>
      </c>
      <c r="G92" s="77">
        <v>0.12</v>
      </c>
      <c r="H92" s="275">
        <v>547.86900000000003</v>
      </c>
      <c r="I92" s="174"/>
      <c r="J92" s="191">
        <f t="shared" si="26"/>
        <v>547.86900000000003</v>
      </c>
      <c r="K92" s="275">
        <v>200.8365</v>
      </c>
      <c r="L92" s="33">
        <v>0.26500000000000001</v>
      </c>
      <c r="M92" s="33"/>
      <c r="N92" s="33"/>
      <c r="O92" s="33"/>
      <c r="P92" s="33"/>
      <c r="Q92" s="175">
        <f t="shared" si="28"/>
        <v>749.09050000000002</v>
      </c>
      <c r="R92" s="27"/>
    </row>
    <row r="93" spans="1:18">
      <c r="A93" s="312"/>
      <c r="B93" s="313"/>
      <c r="C93" s="192" t="s">
        <v>13</v>
      </c>
      <c r="D93" s="53"/>
      <c r="E93" s="129"/>
      <c r="F93" s="193">
        <f t="shared" si="24"/>
        <v>0</v>
      </c>
      <c r="G93" s="78">
        <v>29.893999999999998</v>
      </c>
      <c r="H93" s="276">
        <v>53957.684999999998</v>
      </c>
      <c r="I93" s="179"/>
      <c r="J93" s="193">
        <f t="shared" si="26"/>
        <v>53957.684999999998</v>
      </c>
      <c r="K93" s="276">
        <v>19143.387999999999</v>
      </c>
      <c r="L93" s="54">
        <v>106.575</v>
      </c>
      <c r="M93" s="54"/>
      <c r="N93" s="54"/>
      <c r="O93" s="54"/>
      <c r="P93" s="54"/>
      <c r="Q93" s="180">
        <f t="shared" si="28"/>
        <v>73237.542000000001</v>
      </c>
      <c r="R93" s="27"/>
    </row>
    <row r="94" spans="1:18">
      <c r="A94" s="310" t="s">
        <v>66</v>
      </c>
      <c r="B94" s="311"/>
      <c r="C94" s="32" t="s">
        <v>11</v>
      </c>
      <c r="D94" s="52"/>
      <c r="E94" s="128">
        <v>0.22389999999999999</v>
      </c>
      <c r="F94" s="191">
        <f t="shared" si="24"/>
        <v>0.22389999999999999</v>
      </c>
      <c r="G94" s="77">
        <v>0</v>
      </c>
      <c r="H94" s="275">
        <v>2.24E-2</v>
      </c>
      <c r="I94" s="174"/>
      <c r="J94" s="191">
        <f t="shared" si="26"/>
        <v>2.24E-2</v>
      </c>
      <c r="K94" s="275"/>
      <c r="L94" s="33"/>
      <c r="M94" s="33"/>
      <c r="N94" s="33"/>
      <c r="O94" s="33"/>
      <c r="P94" s="33"/>
      <c r="Q94" s="175">
        <f t="shared" si="28"/>
        <v>0.24629999999999999</v>
      </c>
      <c r="R94" s="27"/>
    </row>
    <row r="95" spans="1:18">
      <c r="A95" s="312"/>
      <c r="B95" s="313"/>
      <c r="C95" s="192" t="s">
        <v>13</v>
      </c>
      <c r="D95" s="53"/>
      <c r="E95" s="129">
        <v>153.99299999999999</v>
      </c>
      <c r="F95" s="193">
        <f t="shared" si="24"/>
        <v>153.99299999999999</v>
      </c>
      <c r="G95" s="78">
        <v>2.972</v>
      </c>
      <c r="H95" s="276">
        <v>60.228000000000002</v>
      </c>
      <c r="I95" s="179"/>
      <c r="J95" s="193">
        <f t="shared" si="26"/>
        <v>60.228000000000002</v>
      </c>
      <c r="K95" s="276"/>
      <c r="L95" s="54"/>
      <c r="M95" s="54"/>
      <c r="N95" s="54"/>
      <c r="O95" s="54"/>
      <c r="P95" s="54"/>
      <c r="Q95" s="180">
        <f t="shared" si="28"/>
        <v>217.19300000000001</v>
      </c>
      <c r="R95" s="27"/>
    </row>
    <row r="96" spans="1:18">
      <c r="A96" s="310" t="s">
        <v>67</v>
      </c>
      <c r="B96" s="311"/>
      <c r="C96" s="32" t="s">
        <v>11</v>
      </c>
      <c r="D96" s="52">
        <v>0.16750000000000001</v>
      </c>
      <c r="E96" s="128">
        <v>0.93459999999999999</v>
      </c>
      <c r="F96" s="191">
        <f t="shared" si="24"/>
        <v>1.1021000000000001</v>
      </c>
      <c r="G96" s="77">
        <v>2.81E-2</v>
      </c>
      <c r="H96" s="275">
        <v>6.1955999999999998</v>
      </c>
      <c r="I96" s="174"/>
      <c r="J96" s="191">
        <f t="shared" si="26"/>
        <v>6.1955999999999998</v>
      </c>
      <c r="K96" s="275">
        <v>4.3499999999999997E-2</v>
      </c>
      <c r="L96" s="33"/>
      <c r="M96" s="33"/>
      <c r="N96" s="33"/>
      <c r="O96" s="33"/>
      <c r="P96" s="33"/>
      <c r="Q96" s="175">
        <f t="shared" si="28"/>
        <v>7.3693</v>
      </c>
      <c r="R96" s="27"/>
    </row>
    <row r="97" spans="1:18">
      <c r="A97" s="312"/>
      <c r="B97" s="313"/>
      <c r="C97" s="192" t="s">
        <v>13</v>
      </c>
      <c r="D97" s="53">
        <v>371.175060207976</v>
      </c>
      <c r="E97" s="129">
        <v>1562.317</v>
      </c>
      <c r="F97" s="193">
        <f t="shared" si="24"/>
        <v>1933.492060207976</v>
      </c>
      <c r="G97" s="78">
        <v>40.918999999999997</v>
      </c>
      <c r="H97" s="276">
        <v>11456.643</v>
      </c>
      <c r="I97" s="179"/>
      <c r="J97" s="193">
        <f t="shared" si="26"/>
        <v>11456.643</v>
      </c>
      <c r="K97" s="276">
        <v>36.466999999999999</v>
      </c>
      <c r="L97" s="54"/>
      <c r="M97" s="54"/>
      <c r="N97" s="54"/>
      <c r="O97" s="54"/>
      <c r="P97" s="54"/>
      <c r="Q97" s="180">
        <f t="shared" si="28"/>
        <v>13467.521060207977</v>
      </c>
      <c r="R97" s="27"/>
    </row>
    <row r="98" spans="1:18">
      <c r="A98" s="310" t="s">
        <v>68</v>
      </c>
      <c r="B98" s="311"/>
      <c r="C98" s="32" t="s">
        <v>11</v>
      </c>
      <c r="D98" s="52"/>
      <c r="E98" s="128"/>
      <c r="F98" s="191">
        <f t="shared" si="24"/>
        <v>0</v>
      </c>
      <c r="G98" s="77">
        <v>7.0000000000000001E-3</v>
      </c>
      <c r="H98" s="275">
        <v>9.9400000000000002E-2</v>
      </c>
      <c r="I98" s="174"/>
      <c r="J98" s="191">
        <f t="shared" si="26"/>
        <v>9.9400000000000002E-2</v>
      </c>
      <c r="K98" s="275"/>
      <c r="L98" s="33"/>
      <c r="M98" s="33"/>
      <c r="N98" s="33"/>
      <c r="O98" s="33"/>
      <c r="P98" s="33"/>
      <c r="Q98" s="175">
        <f t="shared" si="28"/>
        <v>0.10640000000000001</v>
      </c>
      <c r="R98" s="27"/>
    </row>
    <row r="99" spans="1:18">
      <c r="A99" s="312"/>
      <c r="B99" s="313"/>
      <c r="C99" s="192" t="s">
        <v>13</v>
      </c>
      <c r="D99" s="53"/>
      <c r="E99" s="129"/>
      <c r="F99" s="193">
        <f t="shared" si="24"/>
        <v>0</v>
      </c>
      <c r="G99" s="78">
        <v>5.1449999999999996</v>
      </c>
      <c r="H99" s="276">
        <v>29.61</v>
      </c>
      <c r="I99" s="179"/>
      <c r="J99" s="193">
        <f t="shared" si="26"/>
        <v>29.61</v>
      </c>
      <c r="K99" s="276"/>
      <c r="L99" s="54"/>
      <c r="M99" s="54"/>
      <c r="N99" s="54"/>
      <c r="O99" s="54"/>
      <c r="P99" s="54"/>
      <c r="Q99" s="180">
        <f t="shared" si="28"/>
        <v>34.754999999999995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128"/>
      <c r="F100" s="191">
        <f t="shared" si="24"/>
        <v>0</v>
      </c>
      <c r="G100" s="77">
        <v>3.0000000000000001E-3</v>
      </c>
      <c r="H100" s="275"/>
      <c r="I100" s="174"/>
      <c r="J100" s="191">
        <f t="shared" si="26"/>
        <v>0</v>
      </c>
      <c r="K100" s="275"/>
      <c r="L100" s="33"/>
      <c r="M100" s="33"/>
      <c r="N100" s="33"/>
      <c r="O100" s="33"/>
      <c r="P100" s="33"/>
      <c r="Q100" s="175">
        <f t="shared" si="28"/>
        <v>3.0000000000000001E-3</v>
      </c>
      <c r="R100" s="27"/>
    </row>
    <row r="101" spans="1:18">
      <c r="A101" s="312"/>
      <c r="B101" s="313"/>
      <c r="C101" s="192" t="s">
        <v>13</v>
      </c>
      <c r="D101" s="53"/>
      <c r="E101" s="129"/>
      <c r="F101" s="193">
        <f t="shared" si="24"/>
        <v>0</v>
      </c>
      <c r="G101" s="78">
        <v>2.52</v>
      </c>
      <c r="H101" s="276"/>
      <c r="I101" s="179"/>
      <c r="J101" s="193">
        <f t="shared" si="26"/>
        <v>0</v>
      </c>
      <c r="K101" s="276"/>
      <c r="L101" s="54"/>
      <c r="M101" s="54"/>
      <c r="N101" s="54"/>
      <c r="O101" s="54"/>
      <c r="P101" s="54"/>
      <c r="Q101" s="180">
        <f t="shared" si="28"/>
        <v>2.52</v>
      </c>
      <c r="R101" s="27"/>
    </row>
    <row r="102" spans="1:18">
      <c r="A102" s="310" t="s">
        <v>70</v>
      </c>
      <c r="B102" s="311"/>
      <c r="C102" s="32" t="s">
        <v>11</v>
      </c>
      <c r="D102" s="52">
        <v>2.8172999999999999</v>
      </c>
      <c r="E102" s="128">
        <v>327.6413</v>
      </c>
      <c r="F102" s="191">
        <f t="shared" si="24"/>
        <v>330.45859999999999</v>
      </c>
      <c r="G102" s="77">
        <v>8.9604999999999997</v>
      </c>
      <c r="H102" s="275">
        <v>203.3168</v>
      </c>
      <c r="I102" s="174"/>
      <c r="J102" s="191">
        <f t="shared" si="26"/>
        <v>203.3168</v>
      </c>
      <c r="K102" s="275">
        <v>2.7082000000000002</v>
      </c>
      <c r="L102" s="33">
        <v>59.619300000000003</v>
      </c>
      <c r="M102" s="33">
        <v>0.55669999999999997</v>
      </c>
      <c r="N102" s="33">
        <v>2.3206000000000002</v>
      </c>
      <c r="O102" s="33">
        <v>2.6265000000000001</v>
      </c>
      <c r="P102" s="33">
        <v>11.0052</v>
      </c>
      <c r="Q102" s="175">
        <f t="shared" si="28"/>
        <v>621.5723999999999</v>
      </c>
      <c r="R102" s="27"/>
    </row>
    <row r="103" spans="1:18">
      <c r="A103" s="312"/>
      <c r="B103" s="313"/>
      <c r="C103" s="192" t="s">
        <v>13</v>
      </c>
      <c r="D103" s="53">
        <v>7263.3772281859528</v>
      </c>
      <c r="E103" s="129">
        <v>96599.21</v>
      </c>
      <c r="F103" s="193">
        <f t="shared" si="24"/>
        <v>103862.58722818596</v>
      </c>
      <c r="G103" s="78">
        <v>10130.955</v>
      </c>
      <c r="H103" s="276">
        <v>89217.069000000003</v>
      </c>
      <c r="I103" s="179"/>
      <c r="J103" s="193">
        <f t="shared" si="26"/>
        <v>89217.069000000003</v>
      </c>
      <c r="K103" s="276">
        <v>1625.9290000000001</v>
      </c>
      <c r="L103" s="54">
        <v>11767.027</v>
      </c>
      <c r="M103" s="54">
        <f>235.989*1.08</f>
        <v>254.86812000000003</v>
      </c>
      <c r="N103" s="54">
        <v>4017.752</v>
      </c>
      <c r="O103" s="54">
        <v>3040.5070000000001</v>
      </c>
      <c r="P103" s="54">
        <f>16641.09*1.08</f>
        <v>17972.377200000003</v>
      </c>
      <c r="Q103" s="180">
        <f t="shared" si="28"/>
        <v>241889.07154818601</v>
      </c>
      <c r="R103" s="27"/>
    </row>
    <row r="104" spans="1:18">
      <c r="A104" s="314" t="s">
        <v>71</v>
      </c>
      <c r="B104" s="315"/>
      <c r="C104" s="32" t="s">
        <v>11</v>
      </c>
      <c r="D104" s="110">
        <f t="shared" ref="D104:D105" si="35">D9+D11+D23+D29+D37+D39+D41+D43+D45+D47+D49+D51+D53+D59+D76+D88+D90+D92+D94+D96+D98+D100+D102</f>
        <v>105.19769999999998</v>
      </c>
      <c r="E104" s="33">
        <f t="shared" ref="E104:E105" si="36">+E9+E11+E23+E29+E37+E39+E41+E43+E45+E47+E49+E51+E53+E59+E76+E88+E90+E92+E94+E96+E98+E100+E102</f>
        <v>454.87969999999996</v>
      </c>
      <c r="F104" s="191">
        <f t="shared" si="24"/>
        <v>560.0773999999999</v>
      </c>
      <c r="G104" s="49">
        <f t="shared" ref="G104:H105" si="37">+G9+G11+G23+G29+G37+G39+G41+G43+G45+G47+G49+G51+G53+G59+G76+G88+G90+G92+G94+G96+G98+G100+G102</f>
        <v>1146.6680999999999</v>
      </c>
      <c r="H104" s="49">
        <f t="shared" si="37"/>
        <v>3868.1750000000002</v>
      </c>
      <c r="I104" s="50"/>
      <c r="J104" s="191">
        <f t="shared" si="26"/>
        <v>3868.1750000000002</v>
      </c>
      <c r="K104" s="49">
        <f t="shared" ref="K104:P105" si="38">+K9+K11+K23+K29+K37+K39+K41+K43+K45+K47+K49+K51+K53+K59+K76+K88+K90+K92+K94+K96+K98+K100+K102</f>
        <v>553.7577</v>
      </c>
      <c r="L104" s="33">
        <f t="shared" si="38"/>
        <v>69.60945000000001</v>
      </c>
      <c r="M104" s="33">
        <f t="shared" si="38"/>
        <v>0.56899999999999995</v>
      </c>
      <c r="N104" s="33">
        <f t="shared" si="38"/>
        <v>2.4854000000000003</v>
      </c>
      <c r="O104" s="33">
        <f t="shared" si="38"/>
        <v>4.7605000000000004</v>
      </c>
      <c r="P104" s="33">
        <f t="shared" si="38"/>
        <v>17.128880000000002</v>
      </c>
      <c r="Q104" s="175">
        <f t="shared" si="28"/>
        <v>6223.2314300000007</v>
      </c>
      <c r="R104" s="27"/>
    </row>
    <row r="105" spans="1:18">
      <c r="A105" s="316"/>
      <c r="B105" s="317"/>
      <c r="C105" s="192" t="s">
        <v>13</v>
      </c>
      <c r="D105" s="111">
        <f t="shared" si="35"/>
        <v>106562.86878546806</v>
      </c>
      <c r="E105" s="54">
        <f t="shared" si="36"/>
        <v>205549.37099999998</v>
      </c>
      <c r="F105" s="193">
        <f t="shared" si="24"/>
        <v>312112.23978546803</v>
      </c>
      <c r="G105" s="68">
        <f t="shared" si="37"/>
        <v>377067.25900000002</v>
      </c>
      <c r="H105" s="68">
        <f t="shared" si="37"/>
        <v>587528.14199999988</v>
      </c>
      <c r="I105" s="63"/>
      <c r="J105" s="193">
        <f t="shared" si="26"/>
        <v>587528.14199999988</v>
      </c>
      <c r="K105" s="68">
        <f t="shared" si="38"/>
        <v>58224.728999999992</v>
      </c>
      <c r="L105" s="54">
        <f t="shared" si="38"/>
        <v>19807.472000000002</v>
      </c>
      <c r="M105" s="54">
        <f t="shared" si="38"/>
        <v>264.11292000000003</v>
      </c>
      <c r="N105" s="54">
        <f t="shared" si="38"/>
        <v>4031.5340000000001</v>
      </c>
      <c r="O105" s="54">
        <f t="shared" si="38"/>
        <v>4196.3590000000004</v>
      </c>
      <c r="P105" s="54">
        <f t="shared" si="38"/>
        <v>20191.540680000002</v>
      </c>
      <c r="Q105" s="180">
        <f t="shared" si="28"/>
        <v>1383423.3883854679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128"/>
      <c r="F106" s="191">
        <f t="shared" si="24"/>
        <v>0</v>
      </c>
      <c r="G106" s="77">
        <v>0.77700000000000002</v>
      </c>
      <c r="H106" s="275">
        <v>0.4632</v>
      </c>
      <c r="I106" s="174"/>
      <c r="J106" s="191">
        <f t="shared" si="26"/>
        <v>0.4632</v>
      </c>
      <c r="K106" s="275">
        <v>2.47E-2</v>
      </c>
      <c r="L106" s="33"/>
      <c r="M106" s="33"/>
      <c r="N106" s="33"/>
      <c r="O106" s="33"/>
      <c r="P106" s="33"/>
      <c r="Q106" s="175">
        <f t="shared" si="28"/>
        <v>1.2648999999999999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129"/>
      <c r="F107" s="193">
        <f t="shared" si="24"/>
        <v>0</v>
      </c>
      <c r="G107" s="78">
        <v>188.27799999999999</v>
      </c>
      <c r="H107" s="276">
        <v>1385.0429999999999</v>
      </c>
      <c r="I107" s="179"/>
      <c r="J107" s="193">
        <f t="shared" si="26"/>
        <v>1385.0429999999999</v>
      </c>
      <c r="K107" s="276">
        <v>84.483000000000004</v>
      </c>
      <c r="L107" s="54"/>
      <c r="M107" s="54"/>
      <c r="N107" s="54"/>
      <c r="O107" s="54"/>
      <c r="P107" s="54"/>
      <c r="Q107" s="180">
        <f t="shared" si="28"/>
        <v>1657.8039999999999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0.46060000000000001</v>
      </c>
      <c r="E108" s="128">
        <v>0.55110000000000003</v>
      </c>
      <c r="F108" s="191">
        <f t="shared" si="24"/>
        <v>1.0117</v>
      </c>
      <c r="G108" s="77">
        <v>2.2627999999999999</v>
      </c>
      <c r="H108" s="275">
        <v>12.029199999999999</v>
      </c>
      <c r="I108" s="174"/>
      <c r="J108" s="191">
        <f t="shared" si="26"/>
        <v>12.029199999999999</v>
      </c>
      <c r="K108" s="275">
        <v>1.3667</v>
      </c>
      <c r="L108" s="33">
        <v>1.1176999999999999</v>
      </c>
      <c r="M108" s="33"/>
      <c r="N108" s="33"/>
      <c r="O108" s="33">
        <v>0.35909999999999997</v>
      </c>
      <c r="P108" s="33">
        <v>0.1211</v>
      </c>
      <c r="Q108" s="175">
        <f t="shared" si="28"/>
        <v>18.2683</v>
      </c>
      <c r="R108" s="27"/>
    </row>
    <row r="109" spans="1:18">
      <c r="A109" s="176" t="s">
        <v>0</v>
      </c>
      <c r="B109" s="307"/>
      <c r="C109" s="192" t="s">
        <v>13</v>
      </c>
      <c r="D109" s="53">
        <v>478.57957762996716</v>
      </c>
      <c r="E109" s="129">
        <v>320.52499999999998</v>
      </c>
      <c r="F109" s="193">
        <f t="shared" si="24"/>
        <v>799.10457762996714</v>
      </c>
      <c r="G109" s="78">
        <v>2407.7269999999999</v>
      </c>
      <c r="H109" s="276">
        <v>4340.1769999999997</v>
      </c>
      <c r="I109" s="179"/>
      <c r="J109" s="193">
        <f t="shared" si="26"/>
        <v>4340.1769999999997</v>
      </c>
      <c r="K109" s="276">
        <v>798.97799999999995</v>
      </c>
      <c r="L109" s="54">
        <v>970.5</v>
      </c>
      <c r="M109" s="54"/>
      <c r="N109" s="54"/>
      <c r="O109" s="54">
        <v>287.77499999999998</v>
      </c>
      <c r="P109" s="54">
        <f>68.8*1.08</f>
        <v>74.304000000000002</v>
      </c>
      <c r="Q109" s="180">
        <f t="shared" si="28"/>
        <v>9678.5655776299664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0.51359999999999995</v>
      </c>
      <c r="E110" s="128">
        <v>1.4862</v>
      </c>
      <c r="F110" s="191">
        <f t="shared" si="24"/>
        <v>1.9998</v>
      </c>
      <c r="G110" s="77">
        <v>0.75509999999999999</v>
      </c>
      <c r="H110" s="275">
        <v>96.070800000000006</v>
      </c>
      <c r="I110" s="174"/>
      <c r="J110" s="191">
        <f t="shared" si="26"/>
        <v>96.070800000000006</v>
      </c>
      <c r="K110" s="275">
        <v>1.9699999999999999E-2</v>
      </c>
      <c r="L110" s="33">
        <v>2E-3</v>
      </c>
      <c r="M110" s="33"/>
      <c r="N110" s="33"/>
      <c r="O110" s="33"/>
      <c r="P110" s="33"/>
      <c r="Q110" s="175">
        <f t="shared" si="28"/>
        <v>98.847400000000007</v>
      </c>
      <c r="R110" s="27"/>
    </row>
    <row r="111" spans="1:18">
      <c r="A111" s="176"/>
      <c r="B111" s="307"/>
      <c r="C111" s="192" t="s">
        <v>13</v>
      </c>
      <c r="D111" s="53">
        <v>220.84863582366057</v>
      </c>
      <c r="E111" s="129">
        <v>899.19100000000003</v>
      </c>
      <c r="F111" s="193">
        <f t="shared" si="24"/>
        <v>1120.0396358236605</v>
      </c>
      <c r="G111" s="78">
        <v>216.929</v>
      </c>
      <c r="H111" s="276">
        <v>48904.358</v>
      </c>
      <c r="I111" s="179"/>
      <c r="J111" s="193">
        <f t="shared" si="26"/>
        <v>48904.358</v>
      </c>
      <c r="K111" s="276">
        <v>21.599</v>
      </c>
      <c r="L111" s="54">
        <v>5.25</v>
      </c>
      <c r="M111" s="54"/>
      <c r="N111" s="54"/>
      <c r="O111" s="54"/>
      <c r="P111" s="54"/>
      <c r="Q111" s="180">
        <f t="shared" si="28"/>
        <v>50268.17563582366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8.9999999999999993E-3</v>
      </c>
      <c r="E112" s="128">
        <v>5.5999999999999999E-3</v>
      </c>
      <c r="F112" s="191">
        <f t="shared" si="24"/>
        <v>1.4599999999999998E-2</v>
      </c>
      <c r="G112" s="77">
        <v>0.01</v>
      </c>
      <c r="H112" s="275">
        <v>0.1157</v>
      </c>
      <c r="I112" s="174"/>
      <c r="J112" s="191">
        <f t="shared" si="26"/>
        <v>0.1157</v>
      </c>
      <c r="K112" s="275"/>
      <c r="L112" s="33"/>
      <c r="M112" s="33"/>
      <c r="N112" s="33"/>
      <c r="O112" s="33"/>
      <c r="P112" s="33"/>
      <c r="Q112" s="175">
        <f t="shared" si="28"/>
        <v>0.14029999999999998</v>
      </c>
      <c r="R112" s="27"/>
    </row>
    <row r="113" spans="1:18">
      <c r="A113" s="176"/>
      <c r="B113" s="307"/>
      <c r="C113" s="192" t="s">
        <v>13</v>
      </c>
      <c r="D113" s="53">
        <v>5.6700009197258012</v>
      </c>
      <c r="E113" s="129">
        <v>43.155000000000001</v>
      </c>
      <c r="F113" s="193">
        <f t="shared" si="24"/>
        <v>48.825000919725802</v>
      </c>
      <c r="G113" s="78">
        <v>17.422999999999998</v>
      </c>
      <c r="H113" s="276">
        <v>1019.319</v>
      </c>
      <c r="I113" s="179"/>
      <c r="J113" s="193">
        <f t="shared" si="26"/>
        <v>1019.319</v>
      </c>
      <c r="K113" s="276"/>
      <c r="L113" s="54"/>
      <c r="M113" s="54"/>
      <c r="N113" s="54"/>
      <c r="O113" s="54"/>
      <c r="P113" s="54"/>
      <c r="Q113" s="180">
        <f t="shared" si="28"/>
        <v>1085.5670009197258</v>
      </c>
      <c r="R113" s="27"/>
    </row>
    <row r="114" spans="1:18">
      <c r="A114" s="176"/>
      <c r="B114" s="306" t="s">
        <v>78</v>
      </c>
      <c r="C114" s="32" t="s">
        <v>11</v>
      </c>
      <c r="D114" s="52">
        <v>0.30530000000000002</v>
      </c>
      <c r="E114" s="128">
        <v>0.1105</v>
      </c>
      <c r="F114" s="191">
        <f t="shared" si="24"/>
        <v>0.4158</v>
      </c>
      <c r="G114" s="77">
        <v>1.9811000000000001</v>
      </c>
      <c r="H114" s="275">
        <v>4.5860000000000003</v>
      </c>
      <c r="I114" s="174"/>
      <c r="J114" s="191">
        <f t="shared" si="26"/>
        <v>4.5860000000000003</v>
      </c>
      <c r="K114" s="275">
        <v>0.53700000000000003</v>
      </c>
      <c r="L114" s="33">
        <v>0.60570000000000002</v>
      </c>
      <c r="M114" s="33"/>
      <c r="N114" s="33"/>
      <c r="O114" s="33">
        <v>0.29220000000000002</v>
      </c>
      <c r="P114" s="33">
        <v>8.9999999999999998E-4</v>
      </c>
      <c r="Q114" s="175">
        <f t="shared" si="28"/>
        <v>8.4186999999999994</v>
      </c>
      <c r="R114" s="27"/>
    </row>
    <row r="115" spans="1:18">
      <c r="A115" s="176"/>
      <c r="B115" s="307"/>
      <c r="C115" s="192" t="s">
        <v>13</v>
      </c>
      <c r="D115" s="53">
        <v>484.47007858546004</v>
      </c>
      <c r="E115" s="129">
        <v>146.685</v>
      </c>
      <c r="F115" s="193">
        <f t="shared" si="24"/>
        <v>631.15507858546005</v>
      </c>
      <c r="G115" s="78">
        <v>2522.0700000000002</v>
      </c>
      <c r="H115" s="276">
        <v>5791.4219999999996</v>
      </c>
      <c r="I115" s="179"/>
      <c r="J115" s="193">
        <f t="shared" si="26"/>
        <v>5791.4219999999996</v>
      </c>
      <c r="K115" s="276">
        <v>309.63900000000001</v>
      </c>
      <c r="L115" s="54">
        <v>360.09300000000002</v>
      </c>
      <c r="M115" s="54"/>
      <c r="N115" s="54"/>
      <c r="O115" s="54">
        <v>61.362000000000002</v>
      </c>
      <c r="P115" s="54">
        <f>0.72*1.08</f>
        <v>0.77760000000000007</v>
      </c>
      <c r="Q115" s="180">
        <f t="shared" si="28"/>
        <v>9676.5186785854585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128"/>
      <c r="F116" s="191">
        <f t="shared" si="24"/>
        <v>0</v>
      </c>
      <c r="G116" s="77">
        <v>1375.11</v>
      </c>
      <c r="H116" s="275"/>
      <c r="I116" s="174"/>
      <c r="J116" s="191">
        <f t="shared" si="26"/>
        <v>0</v>
      </c>
      <c r="K116" s="275">
        <v>1995.72</v>
      </c>
      <c r="L116" s="33">
        <v>1104.78</v>
      </c>
      <c r="M116" s="33"/>
      <c r="N116" s="33"/>
      <c r="O116" s="33"/>
      <c r="P116" s="33"/>
      <c r="Q116" s="175">
        <f t="shared" si="28"/>
        <v>4475.6099999999997</v>
      </c>
      <c r="R116" s="27"/>
    </row>
    <row r="117" spans="1:18">
      <c r="A117" s="176"/>
      <c r="B117" s="307"/>
      <c r="C117" s="192" t="s">
        <v>13</v>
      </c>
      <c r="D117" s="53"/>
      <c r="E117" s="129"/>
      <c r="F117" s="193">
        <f t="shared" si="24"/>
        <v>0</v>
      </c>
      <c r="G117" s="78">
        <v>51884.877</v>
      </c>
      <c r="H117" s="276"/>
      <c r="I117" s="179"/>
      <c r="J117" s="193">
        <f t="shared" si="26"/>
        <v>0</v>
      </c>
      <c r="K117" s="276">
        <v>83729.406000000003</v>
      </c>
      <c r="L117" s="54">
        <v>39267.260999999999</v>
      </c>
      <c r="M117" s="54"/>
      <c r="N117" s="54"/>
      <c r="O117" s="54"/>
      <c r="P117" s="54"/>
      <c r="Q117" s="180">
        <f t="shared" si="28"/>
        <v>174881.54399999999</v>
      </c>
      <c r="R117" s="27"/>
    </row>
    <row r="118" spans="1:18">
      <c r="A118" s="176"/>
      <c r="B118" s="306" t="s">
        <v>81</v>
      </c>
      <c r="C118" s="32" t="s">
        <v>11</v>
      </c>
      <c r="D118" s="52">
        <v>3.9199999999999999E-2</v>
      </c>
      <c r="E118" s="128">
        <v>3.1800000000000002E-2</v>
      </c>
      <c r="F118" s="191">
        <f t="shared" si="24"/>
        <v>7.1000000000000008E-2</v>
      </c>
      <c r="G118" s="77">
        <v>0.14449999999999999</v>
      </c>
      <c r="H118" s="275">
        <v>4.4080000000000004</v>
      </c>
      <c r="I118" s="174"/>
      <c r="J118" s="191">
        <f t="shared" si="26"/>
        <v>4.4080000000000004</v>
      </c>
      <c r="K118" s="275">
        <v>3.5499999999999997E-2</v>
      </c>
      <c r="L118" s="33">
        <v>7.0000000000000001E-3</v>
      </c>
      <c r="M118" s="33"/>
      <c r="N118" s="33"/>
      <c r="O118" s="33"/>
      <c r="P118" s="33"/>
      <c r="Q118" s="175">
        <f t="shared" si="28"/>
        <v>4.6659999999999995</v>
      </c>
      <c r="R118" s="27"/>
    </row>
    <row r="119" spans="1:18">
      <c r="A119" s="176"/>
      <c r="B119" s="307"/>
      <c r="C119" s="192" t="s">
        <v>13</v>
      </c>
      <c r="D119" s="53">
        <v>24.528003978665687</v>
      </c>
      <c r="E119" s="129">
        <v>31.416</v>
      </c>
      <c r="F119" s="193">
        <f t="shared" si="24"/>
        <v>55.944003978665691</v>
      </c>
      <c r="G119" s="78">
        <v>172.50899999999999</v>
      </c>
      <c r="H119" s="276">
        <v>8348.1119999999992</v>
      </c>
      <c r="I119" s="179"/>
      <c r="J119" s="193">
        <f t="shared" si="26"/>
        <v>8348.1119999999992</v>
      </c>
      <c r="K119" s="276">
        <v>25.988</v>
      </c>
      <c r="L119" s="54">
        <v>6.93</v>
      </c>
      <c r="M119" s="54"/>
      <c r="N119" s="54"/>
      <c r="O119" s="54"/>
      <c r="P119" s="54"/>
      <c r="Q119" s="180">
        <f t="shared" si="28"/>
        <v>8609.4830039786648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0.50600000000000001</v>
      </c>
      <c r="E120" s="128">
        <v>0.48</v>
      </c>
      <c r="F120" s="191">
        <f t="shared" si="24"/>
        <v>0.98599999999999999</v>
      </c>
      <c r="G120" s="77"/>
      <c r="H120" s="275">
        <v>0.78710000000000002</v>
      </c>
      <c r="I120" s="174"/>
      <c r="J120" s="191">
        <f t="shared" si="26"/>
        <v>0.78710000000000002</v>
      </c>
      <c r="K120" s="275">
        <v>1.05</v>
      </c>
      <c r="L120" s="33"/>
      <c r="M120" s="33"/>
      <c r="N120" s="33"/>
      <c r="O120" s="33"/>
      <c r="P120" s="33"/>
      <c r="Q120" s="175">
        <f t="shared" si="28"/>
        <v>2.8231000000000002</v>
      </c>
      <c r="R120" s="27"/>
    </row>
    <row r="121" spans="1:18">
      <c r="A121" s="176"/>
      <c r="B121" s="307"/>
      <c r="C121" s="192" t="s">
        <v>13</v>
      </c>
      <c r="D121" s="53">
        <v>215.19753490700052</v>
      </c>
      <c r="E121" s="129">
        <v>201.6</v>
      </c>
      <c r="F121" s="193">
        <f t="shared" si="24"/>
        <v>416.79753490700051</v>
      </c>
      <c r="G121" s="78"/>
      <c r="H121" s="276">
        <v>917.06899999999996</v>
      </c>
      <c r="I121" s="179"/>
      <c r="J121" s="193">
        <f t="shared" si="26"/>
        <v>917.06899999999996</v>
      </c>
      <c r="K121" s="276">
        <v>73.5</v>
      </c>
      <c r="L121" s="54"/>
      <c r="M121" s="54"/>
      <c r="N121" s="54"/>
      <c r="O121" s="54"/>
      <c r="P121" s="54"/>
      <c r="Q121" s="180">
        <f t="shared" si="28"/>
        <v>1407.3665349070004</v>
      </c>
      <c r="R121" s="27"/>
    </row>
    <row r="122" spans="1:18">
      <c r="A122" s="176"/>
      <c r="B122" s="306" t="s">
        <v>84</v>
      </c>
      <c r="C122" s="32" t="s">
        <v>11</v>
      </c>
      <c r="D122" s="52">
        <v>8.2056000000000004</v>
      </c>
      <c r="E122" s="128">
        <v>1.2870999999999999</v>
      </c>
      <c r="F122" s="191">
        <f t="shared" si="24"/>
        <v>9.492700000000001</v>
      </c>
      <c r="G122" s="77">
        <v>4.53E-2</v>
      </c>
      <c r="H122" s="275">
        <v>4.0209000000000001</v>
      </c>
      <c r="I122" s="174"/>
      <c r="J122" s="191">
        <f t="shared" si="26"/>
        <v>4.0209000000000001</v>
      </c>
      <c r="K122" s="275">
        <v>0.12</v>
      </c>
      <c r="L122" s="33">
        <v>1.8160000000000001</v>
      </c>
      <c r="M122" s="33">
        <v>7.9046000000000003</v>
      </c>
      <c r="N122" s="33">
        <v>6.2538999999999998</v>
      </c>
      <c r="O122" s="33"/>
      <c r="P122" s="33">
        <v>6.0499999999999998E-2</v>
      </c>
      <c r="Q122" s="175">
        <f t="shared" si="28"/>
        <v>29.713900000000006</v>
      </c>
      <c r="R122" s="27"/>
    </row>
    <row r="123" spans="1:18">
      <c r="A123" s="176"/>
      <c r="B123" s="307"/>
      <c r="C123" s="192" t="s">
        <v>13</v>
      </c>
      <c r="D123" s="53">
        <v>3859.1706259926314</v>
      </c>
      <c r="E123" s="129">
        <v>416.20400000000001</v>
      </c>
      <c r="F123" s="193">
        <f t="shared" si="24"/>
        <v>4275.3746259926311</v>
      </c>
      <c r="G123" s="78">
        <v>112.96299999999999</v>
      </c>
      <c r="H123" s="276">
        <v>2991.192</v>
      </c>
      <c r="I123" s="179"/>
      <c r="J123" s="193">
        <f t="shared" si="26"/>
        <v>2991.192</v>
      </c>
      <c r="K123" s="276">
        <v>81.909000000000006</v>
      </c>
      <c r="L123" s="54">
        <v>1644.144</v>
      </c>
      <c r="M123" s="54">
        <f>14445.884*1.08</f>
        <v>15601.554720000002</v>
      </c>
      <c r="N123" s="54">
        <v>2337.489</v>
      </c>
      <c r="O123" s="54"/>
      <c r="P123" s="54">
        <f>30.25*1.08</f>
        <v>32.67</v>
      </c>
      <c r="Q123" s="180">
        <f t="shared" si="28"/>
        <v>27077.296345992632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1.6468</v>
      </c>
      <c r="E124" s="128">
        <v>1.3664000000000001</v>
      </c>
      <c r="F124" s="191">
        <f t="shared" si="24"/>
        <v>3.0132000000000003</v>
      </c>
      <c r="G124" s="77">
        <v>0.91159999999999997</v>
      </c>
      <c r="H124" s="275">
        <v>1.0367999999999999</v>
      </c>
      <c r="I124" s="174"/>
      <c r="J124" s="191">
        <f t="shared" si="26"/>
        <v>1.0367999999999999</v>
      </c>
      <c r="K124" s="275">
        <v>0.52659999999999996</v>
      </c>
      <c r="L124" s="33">
        <v>0.1716</v>
      </c>
      <c r="M124" s="33">
        <v>3.0000000000000001E-3</v>
      </c>
      <c r="N124" s="33"/>
      <c r="O124" s="33">
        <v>3.6999999999999998E-2</v>
      </c>
      <c r="P124" s="33">
        <v>0.3332</v>
      </c>
      <c r="Q124" s="175">
        <f t="shared" si="28"/>
        <v>6.0330000000000004</v>
      </c>
      <c r="R124" s="27"/>
    </row>
    <row r="125" spans="1:18">
      <c r="A125" s="27"/>
      <c r="B125" s="307"/>
      <c r="C125" s="192" t="s">
        <v>13</v>
      </c>
      <c r="D125" s="114">
        <v>2589.1744199876775</v>
      </c>
      <c r="E125" s="129">
        <v>727.00099999999998</v>
      </c>
      <c r="F125" s="193">
        <f t="shared" si="24"/>
        <v>3316.1754199876777</v>
      </c>
      <c r="G125" s="78">
        <v>329.58</v>
      </c>
      <c r="H125" s="276">
        <v>749.58600000000001</v>
      </c>
      <c r="I125" s="179"/>
      <c r="J125" s="193">
        <f t="shared" si="26"/>
        <v>749.58600000000001</v>
      </c>
      <c r="K125" s="276">
        <v>279.62299999999999</v>
      </c>
      <c r="L125" s="54">
        <v>124.83199999999999</v>
      </c>
      <c r="M125" s="54">
        <f>1.277*1.08</f>
        <v>1.3791599999999999</v>
      </c>
      <c r="N125" s="54"/>
      <c r="O125" s="54">
        <v>3.8849999999999998</v>
      </c>
      <c r="P125" s="54">
        <f>135.28*1.08</f>
        <v>146.10240000000002</v>
      </c>
      <c r="Q125" s="180">
        <f t="shared" si="28"/>
        <v>4951.1629799876782</v>
      </c>
      <c r="R125" s="27"/>
    </row>
    <row r="126" spans="1:18">
      <c r="A126" s="27"/>
      <c r="B126" s="46" t="s">
        <v>15</v>
      </c>
      <c r="C126" s="32" t="s">
        <v>11</v>
      </c>
      <c r="D126" s="52">
        <v>0.88380000000000003</v>
      </c>
      <c r="E126" s="128"/>
      <c r="F126" s="191">
        <f t="shared" si="24"/>
        <v>0.88380000000000003</v>
      </c>
      <c r="G126" s="77">
        <v>0.69</v>
      </c>
      <c r="H126" s="275">
        <v>15.9095</v>
      </c>
      <c r="I126" s="174"/>
      <c r="J126" s="191">
        <f t="shared" si="26"/>
        <v>15.9095</v>
      </c>
      <c r="K126" s="275"/>
      <c r="L126" s="33">
        <v>1.2083999999999999</v>
      </c>
      <c r="M126" s="33"/>
      <c r="N126" s="33"/>
      <c r="O126" s="33"/>
      <c r="P126" s="33"/>
      <c r="Q126" s="175">
        <f t="shared" si="28"/>
        <v>18.691700000000001</v>
      </c>
      <c r="R126" s="27"/>
    </row>
    <row r="127" spans="1:18">
      <c r="A127" s="27"/>
      <c r="B127" s="177" t="s">
        <v>86</v>
      </c>
      <c r="C127" s="192" t="s">
        <v>13</v>
      </c>
      <c r="D127" s="53">
        <v>355.55630767447207</v>
      </c>
      <c r="E127" s="129"/>
      <c r="F127" s="193">
        <f t="shared" si="24"/>
        <v>355.55630767447207</v>
      </c>
      <c r="G127" s="78">
        <v>272.96300000000002</v>
      </c>
      <c r="H127" s="276">
        <v>4648.2780000000002</v>
      </c>
      <c r="I127" s="179"/>
      <c r="J127" s="193">
        <f t="shared" si="26"/>
        <v>4648.2780000000002</v>
      </c>
      <c r="K127" s="276"/>
      <c r="L127" s="54">
        <v>383.93299999999999</v>
      </c>
      <c r="M127" s="54"/>
      <c r="N127" s="54"/>
      <c r="O127" s="54"/>
      <c r="P127" s="54"/>
      <c r="Q127" s="180">
        <f t="shared" si="28"/>
        <v>5660.730307674472</v>
      </c>
      <c r="R127" s="27"/>
    </row>
    <row r="128" spans="1:18">
      <c r="A128" s="27"/>
      <c r="B128" s="308" t="s">
        <v>19</v>
      </c>
      <c r="C128" s="32" t="s">
        <v>11</v>
      </c>
      <c r="D128" s="110">
        <f t="shared" ref="D128:D129" si="39">D106+D108+D110+D112+D114+D116+D118+D120+D122+D124+D126</f>
        <v>12.569900000000002</v>
      </c>
      <c r="E128" s="33">
        <f t="shared" ref="E128:E129" si="40">+E106+E108+E110+E112+E114+E116+E118+E120+E122+E124+E126</f>
        <v>5.3186999999999998</v>
      </c>
      <c r="F128" s="191">
        <f t="shared" si="24"/>
        <v>17.888600000000004</v>
      </c>
      <c r="G128" s="49">
        <f t="shared" ref="G128:H129" si="41">+G106+G108+G110+G112+G114+G116+G118+G120+G122+G124+G126</f>
        <v>1382.6874</v>
      </c>
      <c r="H128" s="49">
        <f t="shared" si="41"/>
        <v>139.4272</v>
      </c>
      <c r="I128" s="50"/>
      <c r="J128" s="191">
        <f t="shared" si="26"/>
        <v>139.4272</v>
      </c>
      <c r="K128" s="49">
        <f t="shared" ref="K128:K129" si="42">+K106+K108+K110+K112+K114+K116+K118+K120+K122+K124+K126</f>
        <v>1999.4001999999998</v>
      </c>
      <c r="L128" s="33">
        <f>+L106+L108+L110+L112+L114+L116+L118+L120+L122+L124+L126</f>
        <v>1109.7084</v>
      </c>
      <c r="M128" s="33">
        <f>+M106+M108+M110+M112+M114+M116+M118+M120+M122+M124+M126</f>
        <v>7.9076000000000004</v>
      </c>
      <c r="N128" s="33">
        <f t="shared" ref="N128:O129" si="43">+N106+N108+N110+N112+N114+N116+N118+N120+N122+N124+N126</f>
        <v>6.2538999999999998</v>
      </c>
      <c r="O128" s="33">
        <f t="shared" si="43"/>
        <v>0.68830000000000002</v>
      </c>
      <c r="P128" s="33">
        <f>+P106+P108+P110+P112+P114+P116+P118+P120+P122+P124+P126</f>
        <v>0.51570000000000005</v>
      </c>
      <c r="Q128" s="175">
        <f t="shared" si="28"/>
        <v>4664.4772999999996</v>
      </c>
      <c r="R128" s="27"/>
    </row>
    <row r="129" spans="1:18">
      <c r="A129" s="183"/>
      <c r="B129" s="309"/>
      <c r="C129" s="192" t="s">
        <v>13</v>
      </c>
      <c r="D129" s="111">
        <f t="shared" si="39"/>
        <v>8233.1951854992622</v>
      </c>
      <c r="E129" s="54">
        <f t="shared" si="40"/>
        <v>2785.777</v>
      </c>
      <c r="F129" s="193">
        <f t="shared" si="24"/>
        <v>11018.972185499262</v>
      </c>
      <c r="G129" s="68">
        <f t="shared" si="41"/>
        <v>58125.31900000001</v>
      </c>
      <c r="H129" s="68">
        <f t="shared" si="41"/>
        <v>79094.555999999997</v>
      </c>
      <c r="I129" s="63"/>
      <c r="J129" s="193">
        <f t="shared" si="26"/>
        <v>79094.555999999997</v>
      </c>
      <c r="K129" s="68">
        <f t="shared" si="42"/>
        <v>85405.125</v>
      </c>
      <c r="L129" s="54">
        <f>+L107+L109+L111+L113+L115+L117+L119+L121+L123+L125+L127</f>
        <v>42762.942999999999</v>
      </c>
      <c r="M129" s="54">
        <f t="shared" ref="M129" si="44">+M107+M109+M111+M113+M115+M117+M119+M121+M123+M125+M127</f>
        <v>15602.933880000002</v>
      </c>
      <c r="N129" s="54">
        <f t="shared" si="43"/>
        <v>2337.489</v>
      </c>
      <c r="O129" s="54">
        <f t="shared" si="43"/>
        <v>353.02199999999999</v>
      </c>
      <c r="P129" s="54">
        <f>+P107+P109+P111+P113+P115+P117+P119+P121+P123+P125+P127</f>
        <v>253.85400000000004</v>
      </c>
      <c r="Q129" s="180">
        <f t="shared" si="28"/>
        <v>294954.21406549925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128"/>
      <c r="F130" s="191">
        <f t="shared" si="24"/>
        <v>0</v>
      </c>
      <c r="G130" s="77">
        <v>0</v>
      </c>
      <c r="H130" s="275"/>
      <c r="I130" s="174"/>
      <c r="J130" s="191">
        <f t="shared" si="26"/>
        <v>0</v>
      </c>
      <c r="K130" s="275"/>
      <c r="L130" s="33">
        <v>1.6E-2</v>
      </c>
      <c r="M130" s="33"/>
      <c r="N130" s="33"/>
      <c r="O130" s="33"/>
      <c r="P130" s="33"/>
      <c r="Q130" s="175">
        <f t="shared" si="28"/>
        <v>1.6E-2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129"/>
      <c r="F131" s="193">
        <f t="shared" si="24"/>
        <v>0</v>
      </c>
      <c r="G131" s="78">
        <v>12.6</v>
      </c>
      <c r="H131" s="276"/>
      <c r="I131" s="179"/>
      <c r="J131" s="193">
        <f t="shared" si="26"/>
        <v>0</v>
      </c>
      <c r="K131" s="276"/>
      <c r="L131" s="54">
        <v>6.72</v>
      </c>
      <c r="M131" s="54"/>
      <c r="N131" s="54"/>
      <c r="O131" s="54"/>
      <c r="P131" s="54"/>
      <c r="Q131" s="180">
        <f t="shared" si="28"/>
        <v>19.32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128"/>
      <c r="F132" s="191">
        <f t="shared" si="24"/>
        <v>0</v>
      </c>
      <c r="G132" s="77">
        <v>42.476999999999997</v>
      </c>
      <c r="H132" s="275"/>
      <c r="I132" s="174"/>
      <c r="J132" s="191">
        <f t="shared" si="26"/>
        <v>0</v>
      </c>
      <c r="K132" s="275"/>
      <c r="L132" s="33">
        <v>6.2830000000000004</v>
      </c>
      <c r="M132" s="33"/>
      <c r="N132" s="33"/>
      <c r="O132" s="33"/>
      <c r="P132" s="33"/>
      <c r="Q132" s="175">
        <f t="shared" si="28"/>
        <v>48.76</v>
      </c>
      <c r="R132" s="27"/>
    </row>
    <row r="133" spans="1:18">
      <c r="A133" s="176"/>
      <c r="B133" s="307"/>
      <c r="C133" s="192" t="s">
        <v>13</v>
      </c>
      <c r="D133" s="53"/>
      <c r="E133" s="129"/>
      <c r="F133" s="193">
        <f t="shared" si="24"/>
        <v>0</v>
      </c>
      <c r="G133" s="78">
        <v>7456.2629999999999</v>
      </c>
      <c r="H133" s="276"/>
      <c r="I133" s="179"/>
      <c r="J133" s="193">
        <f t="shared" si="26"/>
        <v>0</v>
      </c>
      <c r="K133" s="276"/>
      <c r="L133" s="54">
        <v>266.78399999999999</v>
      </c>
      <c r="M133" s="54"/>
      <c r="N133" s="54"/>
      <c r="O133" s="54"/>
      <c r="P133" s="54"/>
      <c r="Q133" s="197">
        <f t="shared" si="28"/>
        <v>7723.0469999999996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>
        <v>0.4793</v>
      </c>
      <c r="E134" s="132">
        <v>0.47899999999999998</v>
      </c>
      <c r="F134" s="199">
        <f t="shared" ref="F134:F142" si="45">SUM(D134:E134)</f>
        <v>0.95829999999999993</v>
      </c>
      <c r="G134" s="139">
        <v>1.1500999999999999</v>
      </c>
      <c r="H134" s="281">
        <v>6.2967000000000004</v>
      </c>
      <c r="I134" s="200"/>
      <c r="J134" s="199">
        <f t="shared" ref="J134:J142" si="46">SUM(H134:I134)</f>
        <v>6.2967000000000004</v>
      </c>
      <c r="K134" s="281"/>
      <c r="L134" s="93">
        <v>150.9539</v>
      </c>
      <c r="M134" s="93"/>
      <c r="N134" s="93"/>
      <c r="O134" s="93"/>
      <c r="P134" s="93"/>
      <c r="Q134" s="175">
        <f t="shared" si="28"/>
        <v>159.35900000000001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128"/>
      <c r="F135" s="201">
        <f t="shared" si="45"/>
        <v>0</v>
      </c>
      <c r="G135" s="77"/>
      <c r="H135" s="275"/>
      <c r="I135" s="174"/>
      <c r="J135" s="201">
        <f t="shared" si="46"/>
        <v>0</v>
      </c>
      <c r="K135" s="275"/>
      <c r="L135" s="94"/>
      <c r="M135" s="159"/>
      <c r="N135" s="161"/>
      <c r="O135" s="33"/>
      <c r="P135" s="161"/>
      <c r="Q135" s="175">
        <f t="shared" si="28"/>
        <v>0</v>
      </c>
      <c r="R135" s="27"/>
    </row>
    <row r="136" spans="1:18">
      <c r="A136" s="176" t="s">
        <v>18</v>
      </c>
      <c r="B136" s="54"/>
      <c r="C136" s="192" t="s">
        <v>13</v>
      </c>
      <c r="D136" s="53">
        <v>178.98302903267779</v>
      </c>
      <c r="E136" s="129">
        <v>214.02799999999999</v>
      </c>
      <c r="F136" s="202">
        <f t="shared" si="45"/>
        <v>393.01102903267781</v>
      </c>
      <c r="G136" s="78">
        <v>1335.6210000000001</v>
      </c>
      <c r="H136" s="282">
        <v>3901.741</v>
      </c>
      <c r="I136" s="179"/>
      <c r="J136" s="202">
        <f t="shared" si="46"/>
        <v>3901.741</v>
      </c>
      <c r="K136" s="283"/>
      <c r="L136" s="68">
        <v>4054.1460000000002</v>
      </c>
      <c r="M136" s="92"/>
      <c r="N136" s="54"/>
      <c r="O136" s="54"/>
      <c r="P136" s="54"/>
      <c r="Q136" s="197">
        <f t="shared" si="28"/>
        <v>9684.5190290326791</v>
      </c>
      <c r="R136" s="27"/>
    </row>
    <row r="137" spans="1:18">
      <c r="A137" s="27"/>
      <c r="B137" s="212" t="s">
        <v>0</v>
      </c>
      <c r="C137" s="29" t="s">
        <v>11</v>
      </c>
      <c r="D137" s="30">
        <f>+D130+D132+D134</f>
        <v>0.4793</v>
      </c>
      <c r="E137" s="33">
        <f>+E130+E132+E134</f>
        <v>0.47899999999999998</v>
      </c>
      <c r="F137" s="199">
        <f t="shared" si="45"/>
        <v>0.95829999999999993</v>
      </c>
      <c r="G137" s="49">
        <f t="shared" ref="G137" si="47">G130+G132+G134</f>
        <v>43.627099999999999</v>
      </c>
      <c r="H137" s="49">
        <f>H130+H132+H134</f>
        <v>6.2967000000000004</v>
      </c>
      <c r="I137" s="47"/>
      <c r="J137" s="199">
        <f t="shared" si="46"/>
        <v>6.2967000000000004</v>
      </c>
      <c r="K137" s="55"/>
      <c r="L137" s="33">
        <f t="shared" ref="L137" si="48">+L130+L132+L134</f>
        <v>157.25290000000001</v>
      </c>
      <c r="M137" s="97"/>
      <c r="N137" s="160"/>
      <c r="O137" s="93"/>
      <c r="P137" s="93"/>
      <c r="Q137" s="175">
        <f t="shared" si="28"/>
        <v>208.13500000000002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45"/>
        <v>0</v>
      </c>
      <c r="G138" s="98"/>
      <c r="H138" s="49"/>
      <c r="I138" s="50"/>
      <c r="J138" s="201">
        <f t="shared" si="46"/>
        <v>0</v>
      </c>
      <c r="K138" s="49"/>
      <c r="L138" s="33"/>
      <c r="M138" s="69"/>
      <c r="N138" s="69"/>
      <c r="O138" s="33"/>
      <c r="P138" s="33"/>
      <c r="Q138" s="175">
        <f t="shared" si="28"/>
        <v>0</v>
      </c>
      <c r="R138" s="27"/>
    </row>
    <row r="139" spans="1:18">
      <c r="A139" s="183"/>
      <c r="B139" s="54"/>
      <c r="C139" s="192" t="s">
        <v>13</v>
      </c>
      <c r="D139" s="54">
        <f>+D131+D133+D136</f>
        <v>178.98302903267779</v>
      </c>
      <c r="E139" s="54">
        <f>+E131+E133+E136</f>
        <v>214.02799999999999</v>
      </c>
      <c r="F139" s="202">
        <f t="shared" si="45"/>
        <v>393.01102903267781</v>
      </c>
      <c r="G139" s="68">
        <f t="shared" ref="G139" si="49">G131+G133+G136</f>
        <v>8804.4840000000004</v>
      </c>
      <c r="H139" s="68">
        <f t="shared" ref="H139" si="50">+H131+H133+H136</f>
        <v>3901.741</v>
      </c>
      <c r="I139" s="63"/>
      <c r="J139" s="202">
        <f t="shared" si="46"/>
        <v>3901.741</v>
      </c>
      <c r="K139" s="68"/>
      <c r="L139" s="54">
        <f>+L131+L133+L136</f>
        <v>4327.6500000000005</v>
      </c>
      <c r="M139" s="70"/>
      <c r="N139" s="70"/>
      <c r="O139" s="54"/>
      <c r="P139" s="54"/>
      <c r="Q139" s="197">
        <f t="shared" si="28"/>
        <v>17426.886029032677</v>
      </c>
      <c r="R139" s="27"/>
    </row>
    <row r="140" spans="1:18">
      <c r="A140" s="27"/>
      <c r="B140" s="28" t="s">
        <v>0</v>
      </c>
      <c r="C140" s="29" t="s">
        <v>11</v>
      </c>
      <c r="D140" s="284">
        <f t="shared" ref="D140:E140" si="51">D137+D128+D104</f>
        <v>118.24689999999998</v>
      </c>
      <c r="E140" s="133">
        <f t="shared" si="51"/>
        <v>460.67739999999998</v>
      </c>
      <c r="F140" s="199">
        <f t="shared" si="45"/>
        <v>578.9242999999999</v>
      </c>
      <c r="G140" s="140">
        <f>G137+G128+G104</f>
        <v>2572.9825999999998</v>
      </c>
      <c r="H140" s="285">
        <f t="shared" ref="H140" si="52">H137+H128+H104</f>
        <v>4013.8989000000001</v>
      </c>
      <c r="I140" s="57"/>
      <c r="J140" s="199">
        <f t="shared" si="46"/>
        <v>4013.8989000000001</v>
      </c>
      <c r="K140" s="286">
        <f t="shared" ref="K140" si="53">K137+K128+K104</f>
        <v>2553.1578999999997</v>
      </c>
      <c r="L140" s="93">
        <f>L137+L128+L104</f>
        <v>1336.5707499999999</v>
      </c>
      <c r="M140" s="97">
        <f t="shared" ref="M140:O140" si="54">M137+M128+M104</f>
        <v>8.4766000000000012</v>
      </c>
      <c r="N140" s="97">
        <f t="shared" si="54"/>
        <v>8.7393000000000001</v>
      </c>
      <c r="O140" s="93">
        <f t="shared" si="54"/>
        <v>5.4488000000000003</v>
      </c>
      <c r="P140" s="93">
        <f>P137+P128+P104</f>
        <v>17.644580000000001</v>
      </c>
      <c r="Q140" s="175">
        <f t="shared" si="28"/>
        <v>11095.843729999999</v>
      </c>
      <c r="R140" s="27"/>
    </row>
    <row r="141" spans="1:18">
      <c r="A141" s="27"/>
      <c r="B141" s="31" t="s">
        <v>93</v>
      </c>
      <c r="C141" s="32" t="s">
        <v>92</v>
      </c>
      <c r="D141" s="287"/>
      <c r="E141" s="134"/>
      <c r="F141" s="201">
        <f t="shared" si="45"/>
        <v>0</v>
      </c>
      <c r="G141" s="141"/>
      <c r="H141" s="144"/>
      <c r="I141" s="206"/>
      <c r="J141" s="201">
        <f t="shared" si="46"/>
        <v>0</v>
      </c>
      <c r="K141" s="288"/>
      <c r="L141" s="33"/>
      <c r="M141" s="69"/>
      <c r="N141" s="69"/>
      <c r="O141" s="33"/>
      <c r="P141" s="33"/>
      <c r="Q141" s="175">
        <f t="shared" ref="Q141:Q142" si="55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289">
        <f t="shared" ref="D142:E142" si="56">D139+D129+D105</f>
        <v>114975.04700000001</v>
      </c>
      <c r="E142" s="135">
        <f t="shared" si="56"/>
        <v>208549.17599999998</v>
      </c>
      <c r="F142" s="207">
        <f t="shared" si="45"/>
        <v>323524.223</v>
      </c>
      <c r="G142" s="142">
        <f>G139+G129+G105</f>
        <v>443997.06200000003</v>
      </c>
      <c r="H142" s="290">
        <f t="shared" ref="H142" si="57">H139+H129+H105</f>
        <v>670524.4389999999</v>
      </c>
      <c r="I142" s="58"/>
      <c r="J142" s="207">
        <f t="shared" si="46"/>
        <v>670524.4389999999</v>
      </c>
      <c r="K142" s="291">
        <f t="shared" ref="K142" si="58">K139+K129+K105</f>
        <v>143629.85399999999</v>
      </c>
      <c r="L142" s="37">
        <f>L139+L129+L105</f>
        <v>66898.065000000002</v>
      </c>
      <c r="M142" s="71">
        <f t="shared" ref="M142:O142" si="59">M139+M129+M105</f>
        <v>15867.046800000002</v>
      </c>
      <c r="N142" s="71">
        <f t="shared" si="59"/>
        <v>6369.0230000000001</v>
      </c>
      <c r="O142" s="37">
        <f t="shared" si="59"/>
        <v>4549.3810000000003</v>
      </c>
      <c r="P142" s="37">
        <f>P139+P129+P105</f>
        <v>20445.394680000001</v>
      </c>
      <c r="Q142" s="187">
        <f t="shared" si="55"/>
        <v>1695804.4884799998</v>
      </c>
      <c r="R142" s="27"/>
    </row>
    <row r="143" spans="1:18">
      <c r="Q143" s="208" t="s">
        <v>94</v>
      </c>
    </row>
    <row r="145" spans="7:13">
      <c r="G145" s="268"/>
      <c r="M145" s="47"/>
    </row>
    <row r="146" spans="7:13">
      <c r="G146" s="268"/>
      <c r="M146" s="47"/>
    </row>
    <row r="147" spans="7:13">
      <c r="G147" s="47"/>
      <c r="M147" s="47"/>
    </row>
    <row r="148" spans="7:13">
      <c r="G148" s="47"/>
      <c r="M148" s="47"/>
    </row>
    <row r="149" spans="7:13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106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269">
        <v>0.01</v>
      </c>
      <c r="E5" s="52"/>
      <c r="F5" s="173">
        <f>SUM(D5:E5)</f>
        <v>0.01</v>
      </c>
      <c r="G5" s="77">
        <v>6.4000000000000001E-2</v>
      </c>
      <c r="H5" s="77"/>
      <c r="I5" s="174"/>
      <c r="J5" s="173">
        <f>SUM(H5:I5)</f>
        <v>0</v>
      </c>
      <c r="K5" s="270"/>
      <c r="L5" s="33"/>
      <c r="M5" s="33"/>
      <c r="N5" s="33"/>
      <c r="O5" s="33"/>
      <c r="P5" s="33"/>
      <c r="Q5" s="175">
        <f>SUM(F5:G5,J5:P5)</f>
        <v>7.3999999999999996E-2</v>
      </c>
      <c r="R5" s="47"/>
    </row>
    <row r="6" spans="1:18">
      <c r="A6" s="176" t="s">
        <v>12</v>
      </c>
      <c r="B6" s="307"/>
      <c r="C6" s="177" t="s">
        <v>13</v>
      </c>
      <c r="D6" s="53">
        <v>2.1599999637591738</v>
      </c>
      <c r="E6" s="53"/>
      <c r="F6" s="178">
        <f>SUM(D6:E6)</f>
        <v>2.1599999637591738</v>
      </c>
      <c r="G6" s="78">
        <v>13.702</v>
      </c>
      <c r="H6" s="78"/>
      <c r="I6" s="179"/>
      <c r="J6" s="178">
        <f>SUM(H6:I6)</f>
        <v>0</v>
      </c>
      <c r="K6" s="78"/>
      <c r="L6" s="54"/>
      <c r="M6" s="54"/>
      <c r="N6" s="54"/>
      <c r="O6" s="54"/>
      <c r="P6" s="54"/>
      <c r="Q6" s="180">
        <f>SUM(F6:G6,J6:P6)</f>
        <v>15.861999963759175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0.34799999999999998</v>
      </c>
      <c r="F7" s="181">
        <f t="shared" ref="F7:F68" si="0">SUM(D7:E7)</f>
        <v>0.34799999999999998</v>
      </c>
      <c r="G7" s="77"/>
      <c r="H7" s="77">
        <v>89.518000000000001</v>
      </c>
      <c r="I7" s="174"/>
      <c r="J7" s="181">
        <f t="shared" ref="J7:J68" si="1">SUM(H7:I7)</f>
        <v>89.518000000000001</v>
      </c>
      <c r="K7" s="77">
        <v>12.907999999999999</v>
      </c>
      <c r="L7" s="33"/>
      <c r="M7" s="33"/>
      <c r="N7" s="33"/>
      <c r="O7" s="33"/>
      <c r="P7" s="33"/>
      <c r="Q7" s="175">
        <f t="shared" ref="Q7:Q68" si="2">SUM(F7:G7,J7:P7)</f>
        <v>102.774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109.29600000000001</v>
      </c>
      <c r="F8" s="178">
        <f t="shared" si="0"/>
        <v>109.29600000000001</v>
      </c>
      <c r="G8" s="78"/>
      <c r="H8" s="78">
        <v>4817.125</v>
      </c>
      <c r="I8" s="179"/>
      <c r="J8" s="178">
        <f t="shared" si="1"/>
        <v>4817.125</v>
      </c>
      <c r="K8" s="78">
        <v>668.38499999999999</v>
      </c>
      <c r="L8" s="54"/>
      <c r="M8" s="54"/>
      <c r="N8" s="54"/>
      <c r="O8" s="54"/>
      <c r="P8" s="54"/>
      <c r="Q8" s="180">
        <f t="shared" si="2"/>
        <v>5594.8060000000005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>
        <f>D5+D7</f>
        <v>0.01</v>
      </c>
      <c r="E9" s="33">
        <f t="shared" ref="E9:E10" si="3">+E5+E7</f>
        <v>0.34799999999999998</v>
      </c>
      <c r="F9" s="181">
        <f>SUM(D9:E9)</f>
        <v>0.35799999999999998</v>
      </c>
      <c r="G9" s="49">
        <f t="shared" ref="G9:G10" si="4">+G5+G7</f>
        <v>6.4000000000000001E-2</v>
      </c>
      <c r="H9" s="49">
        <f>+H5+H7</f>
        <v>89.518000000000001</v>
      </c>
      <c r="I9" s="50"/>
      <c r="J9" s="181">
        <f>SUM(H9:I9)</f>
        <v>89.518000000000001</v>
      </c>
      <c r="K9" s="49">
        <f t="shared" ref="K9:K10" si="5">+K5+K7</f>
        <v>12.907999999999999</v>
      </c>
      <c r="L9" s="33"/>
      <c r="M9" s="33"/>
      <c r="N9" s="33"/>
      <c r="O9" s="33"/>
      <c r="P9" s="33"/>
      <c r="Q9" s="175">
        <f t="shared" si="2"/>
        <v>102.848</v>
      </c>
      <c r="R9" s="47"/>
    </row>
    <row r="10" spans="1:18">
      <c r="A10" s="183"/>
      <c r="B10" s="309"/>
      <c r="C10" s="177" t="s">
        <v>13</v>
      </c>
      <c r="D10" s="109">
        <f>D6+D8</f>
        <v>2.1599999637591738</v>
      </c>
      <c r="E10" s="54">
        <f t="shared" si="3"/>
        <v>109.29600000000001</v>
      </c>
      <c r="F10" s="178">
        <f t="shared" si="0"/>
        <v>111.45599996375918</v>
      </c>
      <c r="G10" s="68">
        <f t="shared" si="4"/>
        <v>13.702</v>
      </c>
      <c r="H10" s="68">
        <f>+H6+H8</f>
        <v>4817.125</v>
      </c>
      <c r="I10" s="63"/>
      <c r="J10" s="178">
        <f t="shared" si="1"/>
        <v>4817.125</v>
      </c>
      <c r="K10" s="68">
        <f t="shared" si="5"/>
        <v>668.38499999999999</v>
      </c>
      <c r="L10" s="54"/>
      <c r="M10" s="54"/>
      <c r="N10" s="54"/>
      <c r="O10" s="54"/>
      <c r="P10" s="54"/>
      <c r="Q10" s="180">
        <f t="shared" si="2"/>
        <v>5610.667999963759</v>
      </c>
      <c r="R10" s="47"/>
    </row>
    <row r="11" spans="1:18">
      <c r="A11" s="310" t="s">
        <v>20</v>
      </c>
      <c r="B11" s="311"/>
      <c r="C11" s="48" t="s">
        <v>11</v>
      </c>
      <c r="D11" s="52">
        <v>0.58130000000000004</v>
      </c>
      <c r="E11" s="52"/>
      <c r="F11" s="181">
        <f t="shared" si="0"/>
        <v>0.58130000000000004</v>
      </c>
      <c r="G11" s="77">
        <v>0.2344</v>
      </c>
      <c r="H11" s="77">
        <v>0.74299999999999999</v>
      </c>
      <c r="I11" s="174"/>
      <c r="J11" s="181">
        <f t="shared" si="1"/>
        <v>0.74299999999999999</v>
      </c>
      <c r="K11" s="77"/>
      <c r="L11" s="33"/>
      <c r="M11" s="33"/>
      <c r="N11" s="33"/>
      <c r="O11" s="33"/>
      <c r="P11" s="33"/>
      <c r="Q11" s="175">
        <f t="shared" si="2"/>
        <v>1.5587</v>
      </c>
      <c r="R11" s="47"/>
    </row>
    <row r="12" spans="1:18">
      <c r="A12" s="312"/>
      <c r="B12" s="313"/>
      <c r="C12" s="177" t="s">
        <v>13</v>
      </c>
      <c r="D12" s="53">
        <v>217.0454363583768</v>
      </c>
      <c r="E12" s="53"/>
      <c r="F12" s="178">
        <f t="shared" si="0"/>
        <v>217.0454363583768</v>
      </c>
      <c r="G12" s="78">
        <v>40.216999999999999</v>
      </c>
      <c r="H12" s="78">
        <v>718.57799999999997</v>
      </c>
      <c r="I12" s="179"/>
      <c r="J12" s="178">
        <f t="shared" si="1"/>
        <v>718.57799999999997</v>
      </c>
      <c r="K12" s="78"/>
      <c r="L12" s="54"/>
      <c r="M12" s="54"/>
      <c r="N12" s="54"/>
      <c r="O12" s="54"/>
      <c r="P12" s="59"/>
      <c r="Q12" s="180">
        <f t="shared" si="2"/>
        <v>975.84043635837679</v>
      </c>
      <c r="R12" s="47"/>
    </row>
    <row r="13" spans="1:18">
      <c r="A13" s="27"/>
      <c r="B13" s="306" t="s">
        <v>21</v>
      </c>
      <c r="C13" s="48" t="s">
        <v>11</v>
      </c>
      <c r="D13" s="52">
        <v>5.6078000000000001</v>
      </c>
      <c r="E13" s="52">
        <v>4.5502000000000002</v>
      </c>
      <c r="F13" s="181">
        <f t="shared" si="0"/>
        <v>10.158000000000001</v>
      </c>
      <c r="G13" s="77">
        <v>0.65539999999999998</v>
      </c>
      <c r="H13" s="77">
        <v>1.754</v>
      </c>
      <c r="I13" s="174"/>
      <c r="J13" s="181">
        <f t="shared" si="1"/>
        <v>1.754</v>
      </c>
      <c r="K13" s="77"/>
      <c r="L13" s="33">
        <v>0.15179999999999999</v>
      </c>
      <c r="M13" s="33"/>
      <c r="N13" s="33"/>
      <c r="O13" s="33"/>
      <c r="P13" s="33"/>
      <c r="Q13" s="175">
        <f t="shared" si="2"/>
        <v>12.719200000000001</v>
      </c>
      <c r="R13" s="47"/>
    </row>
    <row r="14" spans="1:18">
      <c r="A14" s="172" t="s">
        <v>0</v>
      </c>
      <c r="B14" s="307"/>
      <c r="C14" s="177" t="s">
        <v>13</v>
      </c>
      <c r="D14" s="53">
        <v>14798.526951707938</v>
      </c>
      <c r="E14" s="53">
        <v>15785.087</v>
      </c>
      <c r="F14" s="178">
        <f t="shared" si="0"/>
        <v>30583.613951707935</v>
      </c>
      <c r="G14" s="78">
        <v>1158.9090000000001</v>
      </c>
      <c r="H14" s="78">
        <v>4688.0929999999998</v>
      </c>
      <c r="I14" s="179"/>
      <c r="J14" s="178">
        <f t="shared" si="1"/>
        <v>4688.0929999999998</v>
      </c>
      <c r="K14" s="78"/>
      <c r="L14" s="54">
        <v>478.56799999999998</v>
      </c>
      <c r="M14" s="54"/>
      <c r="N14" s="54"/>
      <c r="O14" s="54"/>
      <c r="P14" s="59"/>
      <c r="Q14" s="180">
        <f t="shared" si="2"/>
        <v>36909.183951707935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5.0926</v>
      </c>
      <c r="E15" s="52">
        <v>3.5999999999999999E-3</v>
      </c>
      <c r="F15" s="181">
        <f t="shared" si="0"/>
        <v>5.0961999999999996</v>
      </c>
      <c r="G15" s="77">
        <v>0.2445</v>
      </c>
      <c r="H15" s="77">
        <v>2.7E-2</v>
      </c>
      <c r="I15" s="174"/>
      <c r="J15" s="181">
        <f t="shared" si="1"/>
        <v>2.7E-2</v>
      </c>
      <c r="K15" s="77">
        <v>3.5999999999999997E-2</v>
      </c>
      <c r="L15" s="33"/>
      <c r="M15" s="33"/>
      <c r="N15" s="33"/>
      <c r="O15" s="33"/>
      <c r="P15" s="33"/>
      <c r="Q15" s="175">
        <f t="shared" si="2"/>
        <v>5.4036999999999997</v>
      </c>
      <c r="R15" s="47"/>
    </row>
    <row r="16" spans="1:18">
      <c r="A16" s="176" t="s">
        <v>0</v>
      </c>
      <c r="B16" s="307"/>
      <c r="C16" s="177" t="s">
        <v>13</v>
      </c>
      <c r="D16" s="53">
        <v>1480.1378151660101</v>
      </c>
      <c r="E16" s="53">
        <v>2.3330000000000002</v>
      </c>
      <c r="F16" s="178">
        <f t="shared" si="0"/>
        <v>1482.4708151660102</v>
      </c>
      <c r="G16" s="78">
        <v>261.584</v>
      </c>
      <c r="H16" s="78">
        <v>55.987000000000002</v>
      </c>
      <c r="I16" s="179"/>
      <c r="J16" s="178">
        <f t="shared" si="1"/>
        <v>55.987000000000002</v>
      </c>
      <c r="K16" s="78">
        <v>80.495000000000005</v>
      </c>
      <c r="L16" s="54"/>
      <c r="M16" s="54"/>
      <c r="N16" s="54"/>
      <c r="O16" s="54"/>
      <c r="P16" s="59"/>
      <c r="Q16" s="180">
        <f t="shared" si="2"/>
        <v>1880.5368151660105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78.374399999999994</v>
      </c>
      <c r="E17" s="52">
        <v>50.363100000000003</v>
      </c>
      <c r="F17" s="181">
        <f t="shared" si="0"/>
        <v>128.73750000000001</v>
      </c>
      <c r="G17" s="77">
        <v>41.531999999999996</v>
      </c>
      <c r="H17" s="77"/>
      <c r="I17" s="174"/>
      <c r="J17" s="181">
        <f t="shared" si="1"/>
        <v>0</v>
      </c>
      <c r="K17" s="77"/>
      <c r="L17" s="33">
        <v>0.32774999999999999</v>
      </c>
      <c r="M17" s="33"/>
      <c r="N17" s="33"/>
      <c r="O17" s="33"/>
      <c r="P17" s="33"/>
      <c r="Q17" s="175">
        <f t="shared" si="2"/>
        <v>170.59725</v>
      </c>
      <c r="R17" s="47"/>
    </row>
    <row r="18" spans="1:18">
      <c r="A18" s="176"/>
      <c r="B18" s="307"/>
      <c r="C18" s="177" t="s">
        <v>13</v>
      </c>
      <c r="D18" s="53">
        <v>82724.309332038247</v>
      </c>
      <c r="E18" s="53">
        <v>58603.837</v>
      </c>
      <c r="F18" s="178">
        <f t="shared" si="0"/>
        <v>141328.14633203825</v>
      </c>
      <c r="G18" s="78">
        <v>51490.307000000001</v>
      </c>
      <c r="H18" s="78"/>
      <c r="I18" s="179"/>
      <c r="J18" s="178">
        <f t="shared" si="1"/>
        <v>0</v>
      </c>
      <c r="K18" s="78"/>
      <c r="L18" s="54">
        <v>567.73299999999995</v>
      </c>
      <c r="M18" s="54"/>
      <c r="N18" s="54"/>
      <c r="O18" s="54"/>
      <c r="P18" s="59"/>
      <c r="Q18" s="180">
        <f t="shared" si="2"/>
        <v>193386.18633203825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5.9748000000000001</v>
      </c>
      <c r="E19" s="52">
        <v>18.927</v>
      </c>
      <c r="F19" s="181">
        <f t="shared" si="0"/>
        <v>24.901800000000001</v>
      </c>
      <c r="G19" s="77">
        <v>0.3236</v>
      </c>
      <c r="H19" s="77">
        <v>3.7429999999999999</v>
      </c>
      <c r="I19" s="174"/>
      <c r="J19" s="181">
        <f t="shared" si="1"/>
        <v>3.7429999999999999</v>
      </c>
      <c r="K19" s="77"/>
      <c r="L19" s="33"/>
      <c r="M19" s="33"/>
      <c r="N19" s="33"/>
      <c r="O19" s="33"/>
      <c r="P19" s="33"/>
      <c r="Q19" s="175">
        <f t="shared" si="2"/>
        <v>28.968399999999999</v>
      </c>
      <c r="R19" s="47"/>
    </row>
    <row r="20" spans="1:18">
      <c r="A20" s="176"/>
      <c r="B20" s="177" t="s">
        <v>28</v>
      </c>
      <c r="C20" s="177" t="s">
        <v>13</v>
      </c>
      <c r="D20" s="53">
        <v>3146.6188272055242</v>
      </c>
      <c r="E20" s="53">
        <v>10216.819</v>
      </c>
      <c r="F20" s="178">
        <f t="shared" si="0"/>
        <v>13363.437827205524</v>
      </c>
      <c r="G20" s="78">
        <v>341.43299999999999</v>
      </c>
      <c r="H20" s="78">
        <v>2597.41</v>
      </c>
      <c r="I20" s="179"/>
      <c r="J20" s="178">
        <f t="shared" si="1"/>
        <v>2597.41</v>
      </c>
      <c r="K20" s="78"/>
      <c r="L20" s="54"/>
      <c r="M20" s="54"/>
      <c r="N20" s="54"/>
      <c r="O20" s="54"/>
      <c r="P20" s="59"/>
      <c r="Q20" s="180">
        <f t="shared" si="2"/>
        <v>16302.280827205523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45.134399999999999</v>
      </c>
      <c r="E21" s="52">
        <v>72.275000000000006</v>
      </c>
      <c r="F21" s="181">
        <f t="shared" si="0"/>
        <v>117.40940000000001</v>
      </c>
      <c r="G21" s="77">
        <v>32.815199999999997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150.22460000000001</v>
      </c>
      <c r="R21" s="47"/>
    </row>
    <row r="22" spans="1:18">
      <c r="A22" s="27"/>
      <c r="B22" s="307"/>
      <c r="C22" s="177" t="s">
        <v>13</v>
      </c>
      <c r="D22" s="53">
        <v>15231.29590444687</v>
      </c>
      <c r="E22" s="53">
        <v>32283.495999999999</v>
      </c>
      <c r="F22" s="178">
        <f t="shared" si="0"/>
        <v>47514.791904446873</v>
      </c>
      <c r="G22" s="78">
        <v>9966.8349999999991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9"/>
      <c r="Q22" s="180">
        <f t="shared" si="2"/>
        <v>57481.626904446872</v>
      </c>
      <c r="R22" s="47"/>
    </row>
    <row r="23" spans="1:18">
      <c r="A23" s="27"/>
      <c r="B23" s="308" t="s">
        <v>19</v>
      </c>
      <c r="C23" s="48" t="s">
        <v>11</v>
      </c>
      <c r="D23" s="110">
        <f t="shared" ref="D23:D24" si="6">D13+D15+D17+D19+D21</f>
        <v>140.184</v>
      </c>
      <c r="E23" s="33">
        <f t="shared" ref="E23:E24" si="7">+E13+E15+E17+E19+E21</f>
        <v>146.1189</v>
      </c>
      <c r="F23" s="181">
        <f t="shared" si="0"/>
        <v>286.30290000000002</v>
      </c>
      <c r="G23" s="49">
        <f t="shared" ref="G23:H24" si="8">+G13+G15+G17+G19+G21</f>
        <v>75.570699999999988</v>
      </c>
      <c r="H23" s="49">
        <f t="shared" si="8"/>
        <v>5.524</v>
      </c>
      <c r="I23" s="50"/>
      <c r="J23" s="181">
        <f t="shared" si="1"/>
        <v>5.524</v>
      </c>
      <c r="K23" s="49">
        <f t="shared" ref="K23:L24" si="9">+K13+K15+K17+K19+K21</f>
        <v>3.5999999999999997E-2</v>
      </c>
      <c r="L23" s="33">
        <f t="shared" si="9"/>
        <v>0.47954999999999998</v>
      </c>
      <c r="M23" s="33"/>
      <c r="N23" s="33"/>
      <c r="O23" s="33"/>
      <c r="P23" s="33"/>
      <c r="Q23" s="175">
        <f t="shared" si="2"/>
        <v>367.91315000000003</v>
      </c>
      <c r="R23" s="47"/>
    </row>
    <row r="24" spans="1:18">
      <c r="A24" s="183"/>
      <c r="B24" s="309"/>
      <c r="C24" s="177" t="s">
        <v>13</v>
      </c>
      <c r="D24" s="111">
        <f t="shared" si="6"/>
        <v>117380.8888305646</v>
      </c>
      <c r="E24" s="54">
        <f t="shared" si="7"/>
        <v>116891.572</v>
      </c>
      <c r="F24" s="178">
        <f t="shared" si="0"/>
        <v>234272.46083056461</v>
      </c>
      <c r="G24" s="68">
        <f t="shared" si="8"/>
        <v>63219.067999999999</v>
      </c>
      <c r="H24" s="68">
        <f t="shared" si="8"/>
        <v>7341.49</v>
      </c>
      <c r="I24" s="63"/>
      <c r="J24" s="178">
        <f t="shared" si="1"/>
        <v>7341.49</v>
      </c>
      <c r="K24" s="68">
        <f t="shared" si="9"/>
        <v>80.495000000000005</v>
      </c>
      <c r="L24" s="54">
        <f t="shared" si="9"/>
        <v>1046.3009999999999</v>
      </c>
      <c r="M24" s="54"/>
      <c r="N24" s="54"/>
      <c r="O24" s="54"/>
      <c r="P24" s="54"/>
      <c r="Q24" s="180">
        <f t="shared" si="2"/>
        <v>305959.81483056454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4.9080000000000004</v>
      </c>
      <c r="E25" s="52">
        <v>2.323</v>
      </c>
      <c r="F25" s="181">
        <f t="shared" si="0"/>
        <v>7.2309999999999999</v>
      </c>
      <c r="G25" s="77">
        <v>183.7516</v>
      </c>
      <c r="H25" s="77"/>
      <c r="I25" s="174"/>
      <c r="J25" s="181">
        <f t="shared" si="1"/>
        <v>0</v>
      </c>
      <c r="K25" s="77"/>
      <c r="L25" s="33">
        <v>2.7400000000000001E-2</v>
      </c>
      <c r="M25" s="33"/>
      <c r="N25" s="33"/>
      <c r="O25" s="33"/>
      <c r="P25" s="33"/>
      <c r="Q25" s="175">
        <f t="shared" si="2"/>
        <v>191.01</v>
      </c>
      <c r="R25" s="47"/>
    </row>
    <row r="26" spans="1:18">
      <c r="A26" s="176" t="s">
        <v>31</v>
      </c>
      <c r="B26" s="307"/>
      <c r="C26" s="177" t="s">
        <v>13</v>
      </c>
      <c r="D26" s="53">
        <v>4477.4855248760286</v>
      </c>
      <c r="E26" s="53">
        <v>2135.1060000000002</v>
      </c>
      <c r="F26" s="178">
        <f t="shared" si="0"/>
        <v>6612.5915248760284</v>
      </c>
      <c r="G26" s="78">
        <v>184472.41200000001</v>
      </c>
      <c r="H26" s="78"/>
      <c r="I26" s="179"/>
      <c r="J26" s="178">
        <f t="shared" si="1"/>
        <v>0</v>
      </c>
      <c r="K26" s="78"/>
      <c r="L26" s="54">
        <v>59.709000000000003</v>
      </c>
      <c r="M26" s="54"/>
      <c r="N26" s="54"/>
      <c r="O26" s="54"/>
      <c r="P26" s="59"/>
      <c r="Q26" s="180">
        <f t="shared" si="2"/>
        <v>191144.71252487603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10.315</v>
      </c>
      <c r="E27" s="52">
        <v>9.8170000000000002</v>
      </c>
      <c r="F27" s="181">
        <f t="shared" si="0"/>
        <v>20.131999999999998</v>
      </c>
      <c r="G27" s="77">
        <v>3.9161999999999999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24.048199999999998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3679.0631382720876</v>
      </c>
      <c r="E28" s="53">
        <v>3984.453</v>
      </c>
      <c r="F28" s="178">
        <f t="shared" si="0"/>
        <v>7663.5161382720871</v>
      </c>
      <c r="G28" s="78">
        <v>3487.297</v>
      </c>
      <c r="H28" s="78"/>
      <c r="I28" s="179"/>
      <c r="J28" s="178">
        <f t="shared" si="1"/>
        <v>0</v>
      </c>
      <c r="K28" s="78"/>
      <c r="L28" s="54"/>
      <c r="M28" s="54"/>
      <c r="N28" s="54"/>
      <c r="O28" s="54"/>
      <c r="P28" s="59"/>
      <c r="Q28" s="180">
        <f t="shared" si="2"/>
        <v>11150.813138272088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f t="shared" ref="D29:D30" si="10">D25+D27</f>
        <v>15.222999999999999</v>
      </c>
      <c r="E29" s="33">
        <f t="shared" ref="E29:E30" si="11">+E25+E27</f>
        <v>12.14</v>
      </c>
      <c r="F29" s="181">
        <f t="shared" si="0"/>
        <v>27.363</v>
      </c>
      <c r="G29" s="49">
        <f t="shared" ref="G29:G30" si="12">+G25+G27</f>
        <v>187.6678</v>
      </c>
      <c r="H29" s="49"/>
      <c r="I29" s="50"/>
      <c r="J29" s="181">
        <f t="shared" si="1"/>
        <v>0</v>
      </c>
      <c r="K29" s="49"/>
      <c r="L29" s="33">
        <f t="shared" ref="L29:L30" si="13">+L25+L27</f>
        <v>2.7400000000000001E-2</v>
      </c>
      <c r="M29" s="55"/>
      <c r="N29" s="33"/>
      <c r="O29" s="33"/>
      <c r="P29" s="33"/>
      <c r="Q29" s="175">
        <f t="shared" si="2"/>
        <v>215.0582</v>
      </c>
      <c r="R29" s="47"/>
    </row>
    <row r="30" spans="1:18">
      <c r="A30" s="183"/>
      <c r="B30" s="309"/>
      <c r="C30" s="177" t="s">
        <v>13</v>
      </c>
      <c r="D30" s="111">
        <f t="shared" si="10"/>
        <v>8156.5486631481162</v>
      </c>
      <c r="E30" s="54">
        <f t="shared" si="11"/>
        <v>6119.5590000000002</v>
      </c>
      <c r="F30" s="178">
        <f t="shared" si="0"/>
        <v>14276.107663148116</v>
      </c>
      <c r="G30" s="68">
        <f t="shared" si="12"/>
        <v>187959.709</v>
      </c>
      <c r="H30" s="68"/>
      <c r="I30" s="63"/>
      <c r="J30" s="178">
        <f t="shared" si="1"/>
        <v>0</v>
      </c>
      <c r="K30" s="68"/>
      <c r="L30" s="54">
        <f t="shared" si="13"/>
        <v>59.709000000000003</v>
      </c>
      <c r="M30" s="68"/>
      <c r="N30" s="54"/>
      <c r="O30" s="54"/>
      <c r="P30" s="54"/>
      <c r="Q30" s="180">
        <f t="shared" si="2"/>
        <v>202295.52566314812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3.5209999999999999</v>
      </c>
      <c r="E31" s="52">
        <v>3.3546</v>
      </c>
      <c r="F31" s="181">
        <f t="shared" si="0"/>
        <v>6.8756000000000004</v>
      </c>
      <c r="G31" s="77">
        <v>22.046099999999999</v>
      </c>
      <c r="H31" s="77">
        <v>699.64679999999998</v>
      </c>
      <c r="I31" s="174"/>
      <c r="J31" s="181">
        <f t="shared" si="1"/>
        <v>699.64679999999998</v>
      </c>
      <c r="K31" s="77">
        <v>91.731899999999996</v>
      </c>
      <c r="L31" s="33">
        <v>2.5427</v>
      </c>
      <c r="M31" s="33"/>
      <c r="N31" s="33">
        <v>2.0081000000000002</v>
      </c>
      <c r="O31" s="33"/>
      <c r="P31" s="33">
        <v>4.0805999999999996</v>
      </c>
      <c r="Q31" s="175">
        <f t="shared" si="2"/>
        <v>828.93179999999995</v>
      </c>
      <c r="R31" s="47"/>
    </row>
    <row r="32" spans="1:18">
      <c r="A32" s="176" t="s">
        <v>36</v>
      </c>
      <c r="B32" s="307"/>
      <c r="C32" s="177" t="s">
        <v>13</v>
      </c>
      <c r="D32" s="53">
        <v>421.0563529354489</v>
      </c>
      <c r="E32" s="53">
        <v>389.43400000000003</v>
      </c>
      <c r="F32" s="178">
        <f t="shared" si="0"/>
        <v>810.49035293544898</v>
      </c>
      <c r="G32" s="78">
        <v>3229.1660000000002</v>
      </c>
      <c r="H32" s="78">
        <v>156961.23300000001</v>
      </c>
      <c r="I32" s="179"/>
      <c r="J32" s="178">
        <f t="shared" si="1"/>
        <v>156961.23300000001</v>
      </c>
      <c r="K32" s="78">
        <v>12986.864</v>
      </c>
      <c r="L32" s="54">
        <v>458.63799999999998</v>
      </c>
      <c r="M32" s="54"/>
      <c r="N32" s="54">
        <v>106.709</v>
      </c>
      <c r="O32" s="54"/>
      <c r="P32" s="59">
        <f>512.795*1.08</f>
        <v>553.81859999999995</v>
      </c>
      <c r="Q32" s="180">
        <f t="shared" si="2"/>
        <v>175106.91895293546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0.253</v>
      </c>
      <c r="E33" s="52">
        <v>2.3800000000000002E-2</v>
      </c>
      <c r="F33" s="181">
        <f t="shared" si="0"/>
        <v>0.27679999999999999</v>
      </c>
      <c r="G33" s="77">
        <v>1.6344000000000001</v>
      </c>
      <c r="H33" s="77">
        <v>1044.9100000000001</v>
      </c>
      <c r="I33" s="174"/>
      <c r="J33" s="181">
        <f t="shared" si="1"/>
        <v>1044.9100000000001</v>
      </c>
      <c r="K33" s="77">
        <v>227.9256</v>
      </c>
      <c r="L33" s="33">
        <v>0.81950000000000001</v>
      </c>
      <c r="M33" s="33"/>
      <c r="N33" s="33"/>
      <c r="O33" s="33"/>
      <c r="P33" s="33"/>
      <c r="Q33" s="175">
        <f t="shared" si="2"/>
        <v>1275.5663000000002</v>
      </c>
      <c r="R33" s="47"/>
    </row>
    <row r="34" spans="1:18">
      <c r="A34" s="176" t="s">
        <v>38</v>
      </c>
      <c r="B34" s="307"/>
      <c r="C34" s="177" t="s">
        <v>13</v>
      </c>
      <c r="D34" s="53">
        <v>20.429279657234265</v>
      </c>
      <c r="E34" s="53">
        <v>2.1819999999999999</v>
      </c>
      <c r="F34" s="178">
        <f t="shared" si="0"/>
        <v>22.611279657234263</v>
      </c>
      <c r="G34" s="78">
        <v>74.515000000000001</v>
      </c>
      <c r="H34" s="78">
        <v>77272.232999999993</v>
      </c>
      <c r="I34" s="179"/>
      <c r="J34" s="178">
        <f t="shared" si="1"/>
        <v>77272.232999999993</v>
      </c>
      <c r="K34" s="78">
        <v>16693.454000000002</v>
      </c>
      <c r="L34" s="54">
        <v>19.385999999999999</v>
      </c>
      <c r="M34" s="54"/>
      <c r="N34" s="54"/>
      <c r="O34" s="54"/>
      <c r="P34" s="59"/>
      <c r="Q34" s="180">
        <f t="shared" si="2"/>
        <v>94082.19927965723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985.40300000000002</v>
      </c>
      <c r="I35" s="174"/>
      <c r="J35" s="181">
        <f t="shared" si="1"/>
        <v>985.40300000000002</v>
      </c>
      <c r="K35" s="77">
        <v>9.4369999999999994</v>
      </c>
      <c r="L35" s="33">
        <v>7.3000000000000001E-3</v>
      </c>
      <c r="M35" s="33"/>
      <c r="N35" s="33">
        <v>2.5999999999999999E-3</v>
      </c>
      <c r="O35" s="33"/>
      <c r="P35" s="33"/>
      <c r="Q35" s="175">
        <f t="shared" si="2"/>
        <v>994.84990000000005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77671.014999999999</v>
      </c>
      <c r="I36" s="179"/>
      <c r="J36" s="178">
        <f t="shared" si="1"/>
        <v>77671.014999999999</v>
      </c>
      <c r="K36" s="78">
        <v>616.20100000000002</v>
      </c>
      <c r="L36" s="54">
        <v>3.6989999999999998</v>
      </c>
      <c r="M36" s="54"/>
      <c r="N36" s="54">
        <v>0.99399999999999999</v>
      </c>
      <c r="O36" s="54"/>
      <c r="P36" s="59"/>
      <c r="Q36" s="180">
        <f t="shared" si="2"/>
        <v>78291.909</v>
      </c>
      <c r="R36" s="47"/>
    </row>
    <row r="37" spans="1:18">
      <c r="A37" s="27"/>
      <c r="B37" s="308" t="s">
        <v>19</v>
      </c>
      <c r="C37" s="48" t="s">
        <v>11</v>
      </c>
      <c r="D37" s="110">
        <f t="shared" ref="D37:D38" si="14">D31+D33+D35</f>
        <v>3.774</v>
      </c>
      <c r="E37" s="33">
        <f t="shared" ref="E37:E38" si="15">+E31+E33+E35</f>
        <v>3.3784000000000001</v>
      </c>
      <c r="F37" s="181">
        <f t="shared" si="0"/>
        <v>7.1524000000000001</v>
      </c>
      <c r="G37" s="49">
        <f t="shared" ref="G37:G38" si="16">+G31+G33+G35</f>
        <v>23.680499999999999</v>
      </c>
      <c r="H37" s="49">
        <f>+H31+H33+H35</f>
        <v>2729.9598000000001</v>
      </c>
      <c r="I37" s="50"/>
      <c r="J37" s="181">
        <f t="shared" si="1"/>
        <v>2729.9598000000001</v>
      </c>
      <c r="K37" s="49">
        <f t="shared" ref="K37:L38" si="17">+K31+K33+K35</f>
        <v>329.09450000000004</v>
      </c>
      <c r="L37" s="33">
        <f t="shared" si="17"/>
        <v>3.3694999999999999</v>
      </c>
      <c r="M37" s="33"/>
      <c r="N37" s="33">
        <f t="shared" ref="N37:N38" si="18">+N31+N33+N35</f>
        <v>2.0107000000000004</v>
      </c>
      <c r="O37" s="33"/>
      <c r="P37" s="33">
        <f>P31+P33+P35</f>
        <v>4.0805999999999996</v>
      </c>
      <c r="Q37" s="175">
        <f t="shared" si="2"/>
        <v>3099.3479999999995</v>
      </c>
      <c r="R37" s="47"/>
    </row>
    <row r="38" spans="1:18">
      <c r="A38" s="183"/>
      <c r="B38" s="309"/>
      <c r="C38" s="177" t="s">
        <v>13</v>
      </c>
      <c r="D38" s="111">
        <f t="shared" si="14"/>
        <v>441.48563259268315</v>
      </c>
      <c r="E38" s="54">
        <f t="shared" si="15"/>
        <v>391.61600000000004</v>
      </c>
      <c r="F38" s="178">
        <f t="shared" si="0"/>
        <v>833.10163259268325</v>
      </c>
      <c r="G38" s="68">
        <f t="shared" si="16"/>
        <v>3303.681</v>
      </c>
      <c r="H38" s="68">
        <f>+H32+H34+H36</f>
        <v>311904.48100000003</v>
      </c>
      <c r="I38" s="63"/>
      <c r="J38" s="178">
        <f t="shared" si="1"/>
        <v>311904.48100000003</v>
      </c>
      <c r="K38" s="68">
        <f t="shared" si="17"/>
        <v>30296.519</v>
      </c>
      <c r="L38" s="54">
        <f t="shared" si="17"/>
        <v>481.72300000000001</v>
      </c>
      <c r="M38" s="54"/>
      <c r="N38" s="54">
        <f t="shared" si="18"/>
        <v>107.703</v>
      </c>
      <c r="O38" s="54"/>
      <c r="P38" s="54">
        <f t="shared" ref="P38" si="19">P32+P34+P36</f>
        <v>553.81859999999995</v>
      </c>
      <c r="Q38" s="180">
        <f t="shared" si="2"/>
        <v>347481.02723259269</v>
      </c>
      <c r="R38" s="47"/>
    </row>
    <row r="39" spans="1:18">
      <c r="A39" s="310" t="s">
        <v>40</v>
      </c>
      <c r="B39" s="311"/>
      <c r="C39" s="48" t="s">
        <v>11</v>
      </c>
      <c r="D39" s="52">
        <v>7.1900000000000006E-2</v>
      </c>
      <c r="E39" s="52">
        <v>0.375</v>
      </c>
      <c r="F39" s="181">
        <f t="shared" si="0"/>
        <v>0.44690000000000002</v>
      </c>
      <c r="G39" s="77"/>
      <c r="H39" s="77"/>
      <c r="I39" s="174"/>
      <c r="J39" s="181">
        <f t="shared" si="1"/>
        <v>0</v>
      </c>
      <c r="K39" s="77"/>
      <c r="L39" s="33"/>
      <c r="M39" s="33"/>
      <c r="N39" s="33"/>
      <c r="O39" s="33"/>
      <c r="P39" s="33"/>
      <c r="Q39" s="175">
        <f t="shared" si="2"/>
        <v>0.44690000000000002</v>
      </c>
      <c r="R39" s="47"/>
    </row>
    <row r="40" spans="1:18">
      <c r="A40" s="312"/>
      <c r="B40" s="313"/>
      <c r="C40" s="177" t="s">
        <v>13</v>
      </c>
      <c r="D40" s="53">
        <v>128.12579785028478</v>
      </c>
      <c r="E40" s="53">
        <v>257.85000000000002</v>
      </c>
      <c r="F40" s="178">
        <f t="shared" si="0"/>
        <v>385.97579785028483</v>
      </c>
      <c r="G40" s="78"/>
      <c r="H40" s="78"/>
      <c r="I40" s="179"/>
      <c r="J40" s="178">
        <f t="shared" si="1"/>
        <v>0</v>
      </c>
      <c r="K40" s="78"/>
      <c r="L40" s="54"/>
      <c r="M40" s="54"/>
      <c r="N40" s="54"/>
      <c r="O40" s="54"/>
      <c r="P40" s="59"/>
      <c r="Q40" s="180">
        <f t="shared" si="2"/>
        <v>385.97579785028483</v>
      </c>
      <c r="R40" s="47"/>
    </row>
    <row r="41" spans="1:18">
      <c r="A41" s="310" t="s">
        <v>41</v>
      </c>
      <c r="B41" s="311"/>
      <c r="C41" s="48" t="s">
        <v>11</v>
      </c>
      <c r="D41" s="52">
        <v>1.0646</v>
      </c>
      <c r="E41" s="52"/>
      <c r="F41" s="181">
        <f t="shared" si="0"/>
        <v>1.0646</v>
      </c>
      <c r="G41" s="77">
        <v>1.1299999999999999E-2</v>
      </c>
      <c r="H41" s="77">
        <v>0.29580000000000001</v>
      </c>
      <c r="I41" s="174"/>
      <c r="J41" s="181">
        <f t="shared" si="1"/>
        <v>0.29580000000000001</v>
      </c>
      <c r="K41" s="77"/>
      <c r="L41" s="33"/>
      <c r="M41" s="33"/>
      <c r="N41" s="33"/>
      <c r="O41" s="33"/>
      <c r="P41" s="33"/>
      <c r="Q41" s="175">
        <f t="shared" si="2"/>
        <v>1.3717000000000001</v>
      </c>
      <c r="R41" s="47"/>
    </row>
    <row r="42" spans="1:18">
      <c r="A42" s="312"/>
      <c r="B42" s="313"/>
      <c r="C42" s="177" t="s">
        <v>13</v>
      </c>
      <c r="D42" s="53">
        <v>1126.7726210948281</v>
      </c>
      <c r="E42" s="53"/>
      <c r="F42" s="178">
        <f t="shared" si="0"/>
        <v>1126.7726210948281</v>
      </c>
      <c r="G42" s="78">
        <v>4.1769999999999996</v>
      </c>
      <c r="H42" s="78">
        <v>260.92700000000002</v>
      </c>
      <c r="I42" s="179"/>
      <c r="J42" s="178">
        <f t="shared" si="1"/>
        <v>260.92700000000002</v>
      </c>
      <c r="K42" s="78"/>
      <c r="L42" s="54"/>
      <c r="M42" s="54"/>
      <c r="N42" s="54"/>
      <c r="O42" s="54"/>
      <c r="P42" s="59"/>
      <c r="Q42" s="180">
        <f t="shared" si="2"/>
        <v>1391.8766210948279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9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>
        <v>1E-3</v>
      </c>
      <c r="E45" s="52"/>
      <c r="F45" s="181">
        <f t="shared" si="0"/>
        <v>1E-3</v>
      </c>
      <c r="G45" s="77">
        <v>1.5100000000000001E-2</v>
      </c>
      <c r="H45" s="77">
        <v>2.81E-2</v>
      </c>
      <c r="I45" s="174"/>
      <c r="J45" s="181">
        <f t="shared" si="1"/>
        <v>2.81E-2</v>
      </c>
      <c r="K45" s="77"/>
      <c r="L45" s="33">
        <v>1.1000000000000001E-3</v>
      </c>
      <c r="M45" s="33"/>
      <c r="N45" s="33"/>
      <c r="O45" s="33"/>
      <c r="P45" s="33"/>
      <c r="Q45" s="175">
        <f t="shared" si="2"/>
        <v>4.53E-2</v>
      </c>
      <c r="R45" s="47"/>
    </row>
    <row r="46" spans="1:18">
      <c r="A46" s="312"/>
      <c r="B46" s="313"/>
      <c r="C46" s="177" t="s">
        <v>13</v>
      </c>
      <c r="D46" s="53">
        <v>1.6199999728193804</v>
      </c>
      <c r="E46" s="53"/>
      <c r="F46" s="178">
        <f t="shared" si="0"/>
        <v>1.6199999728193804</v>
      </c>
      <c r="G46" s="78">
        <v>47.302</v>
      </c>
      <c r="H46" s="78">
        <v>28.902999999999999</v>
      </c>
      <c r="I46" s="179"/>
      <c r="J46" s="178">
        <f t="shared" si="1"/>
        <v>28.902999999999999</v>
      </c>
      <c r="K46" s="78"/>
      <c r="L46" s="54">
        <v>1.1879999999999999</v>
      </c>
      <c r="M46" s="54"/>
      <c r="N46" s="54"/>
      <c r="O46" s="54"/>
      <c r="P46" s="59"/>
      <c r="Q46" s="180">
        <f t="shared" si="2"/>
        <v>79.012999972819372</v>
      </c>
      <c r="R46" s="47"/>
    </row>
    <row r="47" spans="1:18">
      <c r="A47" s="310" t="s">
        <v>44</v>
      </c>
      <c r="B47" s="311"/>
      <c r="C47" s="48" t="s">
        <v>11</v>
      </c>
      <c r="D47" s="52">
        <v>1.6E-2</v>
      </c>
      <c r="E47" s="52"/>
      <c r="F47" s="181">
        <f t="shared" si="0"/>
        <v>1.6E-2</v>
      </c>
      <c r="G47" s="77">
        <v>0</v>
      </c>
      <c r="H47" s="77">
        <v>1.4200000000000001E-2</v>
      </c>
      <c r="I47" s="174"/>
      <c r="J47" s="181">
        <f t="shared" si="1"/>
        <v>1.4200000000000001E-2</v>
      </c>
      <c r="K47" s="77"/>
      <c r="L47" s="33">
        <v>8.9999999999999993E-3</v>
      </c>
      <c r="M47" s="33"/>
      <c r="N47" s="33"/>
      <c r="O47" s="33"/>
      <c r="P47" s="33"/>
      <c r="Q47" s="175">
        <f t="shared" si="2"/>
        <v>3.9199999999999999E-2</v>
      </c>
      <c r="R47" s="47"/>
    </row>
    <row r="48" spans="1:18">
      <c r="A48" s="312"/>
      <c r="B48" s="313"/>
      <c r="C48" s="177" t="s">
        <v>13</v>
      </c>
      <c r="D48" s="53">
        <v>10.367999826044034</v>
      </c>
      <c r="E48" s="53"/>
      <c r="F48" s="178">
        <f t="shared" si="0"/>
        <v>10.367999826044034</v>
      </c>
      <c r="G48" s="78">
        <v>2.0640000000000001</v>
      </c>
      <c r="H48" s="78">
        <v>18.446999999999999</v>
      </c>
      <c r="I48" s="179"/>
      <c r="J48" s="178">
        <f t="shared" si="1"/>
        <v>18.446999999999999</v>
      </c>
      <c r="K48" s="78"/>
      <c r="L48" s="54">
        <v>3.8879999999999999</v>
      </c>
      <c r="M48" s="54"/>
      <c r="N48" s="54"/>
      <c r="O48" s="54"/>
      <c r="P48" s="59"/>
      <c r="Q48" s="180">
        <f t="shared" si="2"/>
        <v>34.766999826044035</v>
      </c>
      <c r="R48" s="47"/>
    </row>
    <row r="49" spans="1:18">
      <c r="A49" s="310" t="s">
        <v>45</v>
      </c>
      <c r="B49" s="311"/>
      <c r="C49" s="48" t="s">
        <v>11</v>
      </c>
      <c r="D49" s="52"/>
      <c r="E49" s="52">
        <v>0.30599999999999999</v>
      </c>
      <c r="F49" s="181">
        <f t="shared" si="0"/>
        <v>0.30599999999999999</v>
      </c>
      <c r="G49" s="77">
        <v>0</v>
      </c>
      <c r="H49" s="77">
        <v>184.04300000000001</v>
      </c>
      <c r="I49" s="174"/>
      <c r="J49" s="181">
        <f t="shared" si="1"/>
        <v>184.04300000000001</v>
      </c>
      <c r="K49" s="77">
        <v>25.125</v>
      </c>
      <c r="L49" s="33"/>
      <c r="M49" s="33"/>
      <c r="N49" s="33"/>
      <c r="O49" s="33"/>
      <c r="P49" s="33"/>
      <c r="Q49" s="175">
        <f t="shared" si="2"/>
        <v>209.47400000000002</v>
      </c>
      <c r="R49" s="47"/>
    </row>
    <row r="50" spans="1:18">
      <c r="A50" s="312"/>
      <c r="B50" s="313"/>
      <c r="C50" s="177" t="s">
        <v>13</v>
      </c>
      <c r="D50" s="53"/>
      <c r="E50" s="53">
        <v>53.222000000000001</v>
      </c>
      <c r="F50" s="178">
        <f t="shared" si="0"/>
        <v>53.222000000000001</v>
      </c>
      <c r="G50" s="78">
        <v>2.9809999999999999</v>
      </c>
      <c r="H50" s="78">
        <v>14780.727000000001</v>
      </c>
      <c r="I50" s="179"/>
      <c r="J50" s="178">
        <f t="shared" si="1"/>
        <v>14780.727000000001</v>
      </c>
      <c r="K50" s="78">
        <v>1718.9949999999999</v>
      </c>
      <c r="L50" s="54"/>
      <c r="M50" s="54"/>
      <c r="N50" s="54"/>
      <c r="O50" s="54"/>
      <c r="P50" s="59"/>
      <c r="Q50" s="180">
        <f t="shared" si="2"/>
        <v>16555.924999999999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4.1000000000000002E-2</v>
      </c>
      <c r="F51" s="181">
        <f t="shared" si="0"/>
        <v>4.1000000000000002E-2</v>
      </c>
      <c r="G51" s="77"/>
      <c r="H51" s="77"/>
      <c r="I51" s="174"/>
      <c r="J51" s="181">
        <f t="shared" si="1"/>
        <v>0</v>
      </c>
      <c r="K51" s="77"/>
      <c r="L51" s="33"/>
      <c r="M51" s="33"/>
      <c r="N51" s="33"/>
      <c r="O51" s="33"/>
      <c r="P51" s="33"/>
      <c r="Q51" s="175">
        <f t="shared" si="2"/>
        <v>4.1000000000000002E-2</v>
      </c>
      <c r="R51" s="47"/>
    </row>
    <row r="52" spans="1:18">
      <c r="A52" s="312"/>
      <c r="B52" s="313"/>
      <c r="C52" s="177" t="s">
        <v>13</v>
      </c>
      <c r="D52" s="53"/>
      <c r="E52" s="53">
        <v>37.043999999999997</v>
      </c>
      <c r="F52" s="178">
        <f t="shared" si="0"/>
        <v>37.043999999999997</v>
      </c>
      <c r="G52" s="78"/>
      <c r="H52" s="78"/>
      <c r="I52" s="179"/>
      <c r="J52" s="178">
        <f t="shared" si="1"/>
        <v>0</v>
      </c>
      <c r="K52" s="78"/>
      <c r="L52" s="54"/>
      <c r="M52" s="54"/>
      <c r="N52" s="54"/>
      <c r="O52" s="54"/>
      <c r="P52" s="59"/>
      <c r="Q52" s="180">
        <f t="shared" si="2"/>
        <v>37.043999999999997</v>
      </c>
      <c r="R52" s="47"/>
    </row>
    <row r="53" spans="1:18">
      <c r="A53" s="310" t="s">
        <v>47</v>
      </c>
      <c r="B53" s="311"/>
      <c r="C53" s="48" t="s">
        <v>11</v>
      </c>
      <c r="D53" s="52">
        <v>0.32540000000000002</v>
      </c>
      <c r="E53" s="52">
        <v>7.51E-2</v>
      </c>
      <c r="F53" s="181">
        <f t="shared" si="0"/>
        <v>0.40050000000000002</v>
      </c>
      <c r="G53" s="77">
        <v>4.4550999999999998</v>
      </c>
      <c r="H53" s="77">
        <v>13.2464</v>
      </c>
      <c r="I53" s="174"/>
      <c r="J53" s="181">
        <f t="shared" si="1"/>
        <v>13.2464</v>
      </c>
      <c r="K53" s="77">
        <v>222.18530000000001</v>
      </c>
      <c r="L53" s="33">
        <v>31.829599999999999</v>
      </c>
      <c r="M53" s="33"/>
      <c r="N53" s="33">
        <v>0.12540000000000001</v>
      </c>
      <c r="O53" s="33">
        <v>3.0099999999999998E-2</v>
      </c>
      <c r="P53" s="33">
        <v>6.3E-3</v>
      </c>
      <c r="Q53" s="175">
        <f t="shared" si="2"/>
        <v>272.27870000000001</v>
      </c>
      <c r="R53" s="47"/>
    </row>
    <row r="54" spans="1:18">
      <c r="A54" s="312"/>
      <c r="B54" s="313"/>
      <c r="C54" s="177" t="s">
        <v>13</v>
      </c>
      <c r="D54" s="53">
        <v>328.88699448188117</v>
      </c>
      <c r="E54" s="53">
        <v>107.39400000000001</v>
      </c>
      <c r="F54" s="178">
        <f t="shared" si="0"/>
        <v>436.28099448188118</v>
      </c>
      <c r="G54" s="78">
        <v>4098.26</v>
      </c>
      <c r="H54" s="78">
        <v>14352.646000000001</v>
      </c>
      <c r="I54" s="179"/>
      <c r="J54" s="178">
        <f t="shared" si="1"/>
        <v>14352.646000000001</v>
      </c>
      <c r="K54" s="78">
        <v>156771.04699999999</v>
      </c>
      <c r="L54" s="54">
        <v>21448.323</v>
      </c>
      <c r="M54" s="54"/>
      <c r="N54" s="54">
        <v>150.434</v>
      </c>
      <c r="O54" s="54">
        <v>34.192999999999998</v>
      </c>
      <c r="P54" s="59">
        <f>10.18*1.08</f>
        <v>10.994400000000001</v>
      </c>
      <c r="Q54" s="180">
        <f t="shared" si="2"/>
        <v>197302.17839448189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0.73450000000000004</v>
      </c>
      <c r="E55" s="52"/>
      <c r="F55" s="181">
        <f t="shared" si="0"/>
        <v>0.73450000000000004</v>
      </c>
      <c r="G55" s="77"/>
      <c r="H55" s="77">
        <v>0.24079999999999999</v>
      </c>
      <c r="I55" s="174"/>
      <c r="J55" s="181">
        <f t="shared" si="1"/>
        <v>0.24079999999999999</v>
      </c>
      <c r="K55" s="77"/>
      <c r="L55" s="33"/>
      <c r="M55" s="33"/>
      <c r="N55" s="33">
        <v>1.1900000000000001E-2</v>
      </c>
      <c r="O55" s="33"/>
      <c r="P55" s="33"/>
      <c r="Q55" s="175">
        <f t="shared" si="2"/>
        <v>0.98720000000000008</v>
      </c>
      <c r="R55" s="47"/>
    </row>
    <row r="56" spans="1:18">
      <c r="A56" s="176" t="s">
        <v>36</v>
      </c>
      <c r="B56" s="307"/>
      <c r="C56" s="177" t="s">
        <v>13</v>
      </c>
      <c r="D56" s="53">
        <v>713.9339880215008</v>
      </c>
      <c r="E56" s="53"/>
      <c r="F56" s="178">
        <f t="shared" si="0"/>
        <v>713.9339880215008</v>
      </c>
      <c r="G56" s="78"/>
      <c r="H56" s="78">
        <v>240.023</v>
      </c>
      <c r="I56" s="179"/>
      <c r="J56" s="178">
        <f t="shared" si="1"/>
        <v>240.023</v>
      </c>
      <c r="K56" s="78"/>
      <c r="L56" s="54"/>
      <c r="M56" s="54"/>
      <c r="N56" s="54">
        <v>19.116</v>
      </c>
      <c r="O56" s="54"/>
      <c r="P56" s="59"/>
      <c r="Q56" s="180">
        <f t="shared" si="2"/>
        <v>973.07298802150081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1.6519999999999999</v>
      </c>
      <c r="E57" s="52">
        <v>0.02</v>
      </c>
      <c r="F57" s="181">
        <f t="shared" si="0"/>
        <v>1.6719999999999999</v>
      </c>
      <c r="G57" s="77"/>
      <c r="H57" s="77">
        <v>7.1999999999999998E-3</v>
      </c>
      <c r="I57" s="174"/>
      <c r="J57" s="181">
        <f t="shared" si="1"/>
        <v>7.1999999999999998E-3</v>
      </c>
      <c r="K57" s="77"/>
      <c r="L57" s="33">
        <v>4.99E-2</v>
      </c>
      <c r="M57" s="33"/>
      <c r="N57" s="33"/>
      <c r="O57" s="33"/>
      <c r="P57" s="33"/>
      <c r="Q57" s="175">
        <f t="shared" si="2"/>
        <v>1.7291000000000001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125.78759788951548</v>
      </c>
      <c r="E58" s="53">
        <v>26.428000000000001</v>
      </c>
      <c r="F58" s="178">
        <f t="shared" si="0"/>
        <v>152.21559788951549</v>
      </c>
      <c r="G58" s="78"/>
      <c r="H58" s="78">
        <v>21.231999999999999</v>
      </c>
      <c r="I58" s="179"/>
      <c r="J58" s="178">
        <f t="shared" si="1"/>
        <v>21.231999999999999</v>
      </c>
      <c r="K58" s="78"/>
      <c r="L58" s="54">
        <v>64.397000000000006</v>
      </c>
      <c r="M58" s="54"/>
      <c r="N58" s="54"/>
      <c r="O58" s="54"/>
      <c r="P58" s="59"/>
      <c r="Q58" s="180">
        <f t="shared" si="2"/>
        <v>237.84459788951551</v>
      </c>
      <c r="R58" s="47"/>
    </row>
    <row r="59" spans="1:18">
      <c r="A59" s="27"/>
      <c r="B59" s="308" t="s">
        <v>19</v>
      </c>
      <c r="C59" s="48" t="s">
        <v>11</v>
      </c>
      <c r="D59" s="110">
        <f t="shared" ref="D59:D60" si="20">D55+D57</f>
        <v>2.3864999999999998</v>
      </c>
      <c r="E59" s="33">
        <f t="shared" ref="E59:E60" si="21">+E55+E57</f>
        <v>0.02</v>
      </c>
      <c r="F59" s="181">
        <f t="shared" si="0"/>
        <v>2.4064999999999999</v>
      </c>
      <c r="G59" s="49"/>
      <c r="H59" s="49">
        <f t="shared" ref="H59:H60" si="22">+H55+H57</f>
        <v>0.248</v>
      </c>
      <c r="I59" s="50"/>
      <c r="J59" s="181">
        <f t="shared" si="1"/>
        <v>0.248</v>
      </c>
      <c r="K59" s="49"/>
      <c r="L59" s="33">
        <f t="shared" ref="L59:L60" si="23">+L55+L57</f>
        <v>4.99E-2</v>
      </c>
      <c r="M59" s="33"/>
      <c r="N59" s="33">
        <f t="shared" ref="N59:N60" si="24">N55+N57</f>
        <v>1.1900000000000001E-2</v>
      </c>
      <c r="O59" s="33"/>
      <c r="P59" s="33"/>
      <c r="Q59" s="175">
        <f t="shared" si="2"/>
        <v>2.7162999999999995</v>
      </c>
      <c r="R59" s="47"/>
    </row>
    <row r="60" spans="1:18">
      <c r="A60" s="183"/>
      <c r="B60" s="309"/>
      <c r="C60" s="177" t="s">
        <v>13</v>
      </c>
      <c r="D60" s="111">
        <f t="shared" si="20"/>
        <v>839.72158591101629</v>
      </c>
      <c r="E60" s="54">
        <f t="shared" si="21"/>
        <v>26.428000000000001</v>
      </c>
      <c r="F60" s="178">
        <f t="shared" si="0"/>
        <v>866.14958591101629</v>
      </c>
      <c r="G60" s="68"/>
      <c r="H60" s="68">
        <f t="shared" si="22"/>
        <v>261.255</v>
      </c>
      <c r="I60" s="63"/>
      <c r="J60" s="178">
        <f t="shared" si="1"/>
        <v>261.255</v>
      </c>
      <c r="K60" s="68"/>
      <c r="L60" s="54">
        <f t="shared" si="23"/>
        <v>64.397000000000006</v>
      </c>
      <c r="M60" s="54"/>
      <c r="N60" s="54">
        <f t="shared" si="24"/>
        <v>19.116</v>
      </c>
      <c r="O60" s="54"/>
      <c r="P60" s="54"/>
      <c r="Q60" s="180">
        <f t="shared" si="2"/>
        <v>1210.9175859110162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0.13489999999999999</v>
      </c>
      <c r="E61" s="52">
        <v>11.29</v>
      </c>
      <c r="F61" s="181">
        <f t="shared" si="0"/>
        <v>11.424899999999999</v>
      </c>
      <c r="G61" s="77">
        <v>0.129</v>
      </c>
      <c r="H61" s="77">
        <v>16.394400000000001</v>
      </c>
      <c r="I61" s="174"/>
      <c r="J61" s="181">
        <f t="shared" si="1"/>
        <v>16.394400000000001</v>
      </c>
      <c r="K61" s="77"/>
      <c r="L61" s="33">
        <v>0.10249999999999999</v>
      </c>
      <c r="M61" s="33"/>
      <c r="N61" s="33"/>
      <c r="O61" s="33"/>
      <c r="P61" s="33"/>
      <c r="Q61" s="175">
        <f t="shared" si="2"/>
        <v>28.050799999999999</v>
      </c>
      <c r="R61" s="47"/>
    </row>
    <row r="62" spans="1:18">
      <c r="A62" s="176" t="s">
        <v>51</v>
      </c>
      <c r="B62" s="307"/>
      <c r="C62" s="177" t="s">
        <v>13</v>
      </c>
      <c r="D62" s="53">
        <v>7.3904398760020129</v>
      </c>
      <c r="E62" s="53">
        <v>570.88800000000003</v>
      </c>
      <c r="F62" s="178">
        <f t="shared" si="0"/>
        <v>578.27843987600204</v>
      </c>
      <c r="G62" s="78">
        <v>7.298</v>
      </c>
      <c r="H62" s="78">
        <v>566.57500000000005</v>
      </c>
      <c r="I62" s="179"/>
      <c r="J62" s="178">
        <f t="shared" si="1"/>
        <v>566.57500000000005</v>
      </c>
      <c r="K62" s="78"/>
      <c r="L62" s="54">
        <v>8.4670000000000005</v>
      </c>
      <c r="M62" s="54"/>
      <c r="N62" s="54"/>
      <c r="O62" s="54"/>
      <c r="P62" s="54"/>
      <c r="Q62" s="180">
        <f t="shared" si="2"/>
        <v>1160.6184398760022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6.0129999999999999</v>
      </c>
      <c r="E63" s="52">
        <v>12.09</v>
      </c>
      <c r="F63" s="181">
        <f t="shared" si="0"/>
        <v>18.103000000000002</v>
      </c>
      <c r="G63" s="77">
        <v>172.02699999999999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190.13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519.52319128335648</v>
      </c>
      <c r="E64" s="53">
        <v>1044.576</v>
      </c>
      <c r="F64" s="178">
        <f t="shared" si="0"/>
        <v>1564.0991912833565</v>
      </c>
      <c r="G64" s="78">
        <v>23693.098999999998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25257.198191283354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>
        <v>0.05</v>
      </c>
      <c r="E65" s="52">
        <v>2.4E-2</v>
      </c>
      <c r="F65" s="181">
        <f t="shared" si="0"/>
        <v>7.400000000000001E-2</v>
      </c>
      <c r="G65" s="77">
        <v>459.06799999999998</v>
      </c>
      <c r="H65" s="77">
        <v>0.105</v>
      </c>
      <c r="I65" s="174"/>
      <c r="J65" s="181">
        <f t="shared" si="1"/>
        <v>0.105</v>
      </c>
      <c r="K65" s="77"/>
      <c r="L65" s="33"/>
      <c r="M65" s="33"/>
      <c r="N65" s="33"/>
      <c r="O65" s="33"/>
      <c r="P65" s="33"/>
      <c r="Q65" s="175">
        <f t="shared" si="2"/>
        <v>459.24700000000001</v>
      </c>
      <c r="R65" s="47"/>
    </row>
    <row r="66" spans="1:18">
      <c r="A66" s="176" t="s">
        <v>18</v>
      </c>
      <c r="B66" s="307"/>
      <c r="C66" s="177" t="s">
        <v>13</v>
      </c>
      <c r="D66" s="53">
        <v>5.3999999093979341</v>
      </c>
      <c r="E66" s="53">
        <v>0.51800000000000002</v>
      </c>
      <c r="F66" s="178">
        <f t="shared" si="0"/>
        <v>5.9179999093979339</v>
      </c>
      <c r="G66" s="78">
        <v>55429.987999999998</v>
      </c>
      <c r="H66" s="78">
        <v>11.88</v>
      </c>
      <c r="I66" s="179"/>
      <c r="J66" s="178">
        <f t="shared" si="1"/>
        <v>11.88</v>
      </c>
      <c r="K66" s="78"/>
      <c r="L66" s="54"/>
      <c r="M66" s="54"/>
      <c r="N66" s="54"/>
      <c r="O66" s="54"/>
      <c r="P66" s="54"/>
      <c r="Q66" s="180">
        <f t="shared" si="2"/>
        <v>55447.785999909393</v>
      </c>
      <c r="R66" s="47"/>
    </row>
    <row r="67" spans="1:18">
      <c r="A67" s="27"/>
      <c r="B67" s="46" t="s">
        <v>15</v>
      </c>
      <c r="C67" s="48" t="s">
        <v>11</v>
      </c>
      <c r="D67" s="52">
        <v>0.221</v>
      </c>
      <c r="E67" s="52">
        <v>0.3453</v>
      </c>
      <c r="F67" s="181">
        <f t="shared" si="0"/>
        <v>0.56630000000000003</v>
      </c>
      <c r="G67" s="77">
        <v>32.974899999999998</v>
      </c>
      <c r="H67" s="77"/>
      <c r="I67" s="174"/>
      <c r="J67" s="181">
        <f t="shared" si="1"/>
        <v>0</v>
      </c>
      <c r="K67" s="77">
        <v>0.93700000000000006</v>
      </c>
      <c r="L67" s="33"/>
      <c r="M67" s="33"/>
      <c r="N67" s="33"/>
      <c r="O67" s="33"/>
      <c r="P67" s="33">
        <v>1.2999999999999999E-2</v>
      </c>
      <c r="Q67" s="175">
        <f t="shared" si="2"/>
        <v>34.491199999999992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15.6815997368916</v>
      </c>
      <c r="E68" s="56">
        <v>19.838000000000001</v>
      </c>
      <c r="F68" s="185">
        <f t="shared" si="0"/>
        <v>35.5195997368916</v>
      </c>
      <c r="G68" s="104">
        <v>6304.6980000000003</v>
      </c>
      <c r="H68" s="104"/>
      <c r="I68" s="186"/>
      <c r="J68" s="185">
        <f t="shared" si="1"/>
        <v>0</v>
      </c>
      <c r="K68" s="104">
        <v>34.618000000000002</v>
      </c>
      <c r="L68" s="37"/>
      <c r="M68" s="37"/>
      <c r="N68" s="37"/>
      <c r="O68" s="37"/>
      <c r="P68" s="37">
        <f>0.65*1.08</f>
        <v>0.70200000000000007</v>
      </c>
      <c r="Q68" s="187">
        <f t="shared" si="2"/>
        <v>6375.5375997368928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106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f t="shared" ref="D76:D77" si="25">D61+D63+D65+D67</f>
        <v>6.4188999999999998</v>
      </c>
      <c r="E76" s="33">
        <f t="shared" ref="E76:E77" si="26">+E61+E63+E65+E67</f>
        <v>23.749300000000002</v>
      </c>
      <c r="F76" s="191">
        <f t="shared" ref="F76:F133" si="27">SUM(D76:E76)</f>
        <v>30.168200000000002</v>
      </c>
      <c r="G76" s="49">
        <f t="shared" ref="G76:H77" si="28">+G61+G63+G65+G67</f>
        <v>664.19889999999998</v>
      </c>
      <c r="H76" s="49">
        <f t="shared" si="28"/>
        <v>16.499400000000001</v>
      </c>
      <c r="I76" s="50"/>
      <c r="J76" s="191">
        <f t="shared" ref="J76:J133" si="29">SUM(H76:I76)</f>
        <v>16.499400000000001</v>
      </c>
      <c r="K76" s="49">
        <f t="shared" ref="K76:L77" si="30">+K61+K63+K65+K67</f>
        <v>0.93700000000000006</v>
      </c>
      <c r="L76" s="33">
        <f t="shared" si="30"/>
        <v>0.10249999999999999</v>
      </c>
      <c r="M76" s="33"/>
      <c r="N76" s="33"/>
      <c r="O76" s="33"/>
      <c r="P76" s="33">
        <f>P61+P63+P65+P67</f>
        <v>1.2999999999999999E-2</v>
      </c>
      <c r="Q76" s="175">
        <f t="shared" ref="Q76:Q140" si="31">SUM(F76:G76,J76:P76)</f>
        <v>711.91899999999998</v>
      </c>
      <c r="R76" s="27"/>
    </row>
    <row r="77" spans="1:18">
      <c r="A77" s="166" t="s">
        <v>53</v>
      </c>
      <c r="B77" s="309"/>
      <c r="C77" s="192" t="s">
        <v>13</v>
      </c>
      <c r="D77" s="111">
        <f t="shared" si="25"/>
        <v>547.99523080564802</v>
      </c>
      <c r="E77" s="54">
        <f t="shared" si="26"/>
        <v>1635.82</v>
      </c>
      <c r="F77" s="193">
        <f t="shared" si="27"/>
        <v>2183.8152308056478</v>
      </c>
      <c r="G77" s="68">
        <f t="shared" si="28"/>
        <v>85435.082999999999</v>
      </c>
      <c r="H77" s="68">
        <f t="shared" si="28"/>
        <v>578.45500000000004</v>
      </c>
      <c r="I77" s="63"/>
      <c r="J77" s="193">
        <f t="shared" si="29"/>
        <v>578.45500000000004</v>
      </c>
      <c r="K77" s="68">
        <f t="shared" si="30"/>
        <v>34.618000000000002</v>
      </c>
      <c r="L77" s="54">
        <f t="shared" si="30"/>
        <v>8.4670000000000005</v>
      </c>
      <c r="M77" s="54"/>
      <c r="N77" s="54"/>
      <c r="O77" s="54"/>
      <c r="P77" s="54">
        <f>P62+P64+P66+P68</f>
        <v>0.70200000000000007</v>
      </c>
      <c r="Q77" s="180">
        <f t="shared" si="31"/>
        <v>88241.140230805657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1.6194</v>
      </c>
      <c r="E78" s="52">
        <v>1.1095999999999999</v>
      </c>
      <c r="F78" s="191">
        <f t="shared" si="27"/>
        <v>2.7290000000000001</v>
      </c>
      <c r="G78" s="77">
        <v>0.1109</v>
      </c>
      <c r="H78" s="77">
        <v>35.520600000000002</v>
      </c>
      <c r="I78" s="174"/>
      <c r="J78" s="191">
        <f t="shared" si="29"/>
        <v>35.520600000000002</v>
      </c>
      <c r="K78" s="77">
        <v>1.4318</v>
      </c>
      <c r="L78" s="33">
        <v>0.22589999999999999</v>
      </c>
      <c r="M78" s="33">
        <v>3.9800000000000002E-2</v>
      </c>
      <c r="N78" s="33">
        <v>1.0559000000000001</v>
      </c>
      <c r="O78" s="33">
        <v>0.38479999999999998</v>
      </c>
      <c r="P78" s="33">
        <v>1.3957999999999999</v>
      </c>
      <c r="Q78" s="175">
        <f t="shared" si="31"/>
        <v>42.894500000000008</v>
      </c>
      <c r="R78" s="27"/>
    </row>
    <row r="79" spans="1:18">
      <c r="A79" s="176" t="s">
        <v>31</v>
      </c>
      <c r="B79" s="307"/>
      <c r="C79" s="192" t="s">
        <v>13</v>
      </c>
      <c r="D79" s="53">
        <v>2856.5351520725944</v>
      </c>
      <c r="E79" s="53">
        <v>1480.7170000000001</v>
      </c>
      <c r="F79" s="193">
        <f t="shared" si="27"/>
        <v>4337.252152072595</v>
      </c>
      <c r="G79" s="78">
        <v>304.50400000000002</v>
      </c>
      <c r="H79" s="78">
        <v>26482.080000000002</v>
      </c>
      <c r="I79" s="179"/>
      <c r="J79" s="193">
        <f t="shared" si="29"/>
        <v>26482.080000000002</v>
      </c>
      <c r="K79" s="78">
        <v>1057.307</v>
      </c>
      <c r="L79" s="54">
        <v>343.892</v>
      </c>
      <c r="M79" s="54">
        <f>28.085*1.08</f>
        <v>30.331800000000001</v>
      </c>
      <c r="N79" s="54">
        <v>1417.903</v>
      </c>
      <c r="O79" s="54">
        <v>569.04899999999998</v>
      </c>
      <c r="P79" s="59">
        <f>1832.66*1.08</f>
        <v>1979.2728000000002</v>
      </c>
      <c r="Q79" s="180">
        <f t="shared" si="31"/>
        <v>36521.591752072592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>
        <v>0.16370000000000001</v>
      </c>
      <c r="F80" s="191">
        <f t="shared" si="27"/>
        <v>0.16370000000000001</v>
      </c>
      <c r="G80" s="77">
        <v>0.02</v>
      </c>
      <c r="H80" s="77">
        <v>2.1454</v>
      </c>
      <c r="I80" s="174"/>
      <c r="J80" s="191">
        <f t="shared" si="29"/>
        <v>2.1454</v>
      </c>
      <c r="K80" s="77">
        <v>4.5999999999999999E-2</v>
      </c>
      <c r="L80" s="33"/>
      <c r="M80" s="33"/>
      <c r="N80" s="33"/>
      <c r="O80" s="33"/>
      <c r="P80" s="33"/>
      <c r="Q80" s="175">
        <f t="shared" si="31"/>
        <v>2.3750999999999998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>
        <v>15.013</v>
      </c>
      <c r="F81" s="193">
        <f t="shared" si="27"/>
        <v>15.013</v>
      </c>
      <c r="G81" s="78">
        <v>8.64</v>
      </c>
      <c r="H81" s="78">
        <v>293.911</v>
      </c>
      <c r="I81" s="179"/>
      <c r="J81" s="193">
        <f t="shared" si="29"/>
        <v>293.911</v>
      </c>
      <c r="K81" s="78">
        <v>4.968</v>
      </c>
      <c r="L81" s="54"/>
      <c r="M81" s="54"/>
      <c r="N81" s="54"/>
      <c r="O81" s="54"/>
      <c r="P81" s="59"/>
      <c r="Q81" s="180">
        <f t="shared" si="31"/>
        <v>322.53200000000004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7"/>
        <v>0</v>
      </c>
      <c r="G82" s="77"/>
      <c r="H82" s="77"/>
      <c r="I82" s="174"/>
      <c r="J82" s="191">
        <f t="shared" si="29"/>
        <v>0</v>
      </c>
      <c r="K82" s="77"/>
      <c r="L82" s="33"/>
      <c r="M82" s="33"/>
      <c r="N82" s="33"/>
      <c r="O82" s="33"/>
      <c r="P82" s="33"/>
      <c r="Q82" s="175">
        <f t="shared" si="31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7"/>
        <v>0</v>
      </c>
      <c r="G83" s="78"/>
      <c r="H83" s="78"/>
      <c r="I83" s="179"/>
      <c r="J83" s="193">
        <f t="shared" si="29"/>
        <v>0</v>
      </c>
      <c r="K83" s="78"/>
      <c r="L83" s="54"/>
      <c r="M83" s="54"/>
      <c r="N83" s="54"/>
      <c r="O83" s="54"/>
      <c r="P83" s="59"/>
      <c r="Q83" s="180">
        <f t="shared" si="31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7"/>
        <v>0</v>
      </c>
      <c r="G84" s="77"/>
      <c r="H84" s="77"/>
      <c r="I84" s="174"/>
      <c r="J84" s="191">
        <f t="shared" si="29"/>
        <v>0</v>
      </c>
      <c r="K84" s="77"/>
      <c r="L84" s="33"/>
      <c r="M84" s="33"/>
      <c r="N84" s="33"/>
      <c r="O84" s="33"/>
      <c r="P84" s="33"/>
      <c r="Q84" s="175">
        <f t="shared" si="31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7"/>
        <v>0</v>
      </c>
      <c r="G85" s="78"/>
      <c r="H85" s="78"/>
      <c r="I85" s="179"/>
      <c r="J85" s="193">
        <f t="shared" si="29"/>
        <v>0</v>
      </c>
      <c r="K85" s="78"/>
      <c r="L85" s="54"/>
      <c r="M85" s="54"/>
      <c r="N85" s="54"/>
      <c r="O85" s="54"/>
      <c r="P85" s="59"/>
      <c r="Q85" s="180">
        <f t="shared" si="31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5.4268000000000001</v>
      </c>
      <c r="E86" s="52">
        <v>5.0495999999999999</v>
      </c>
      <c r="F86" s="191">
        <f t="shared" si="27"/>
        <v>10.4764</v>
      </c>
      <c r="G86" s="77">
        <v>3.3405</v>
      </c>
      <c r="H86" s="77">
        <v>222.37119999999999</v>
      </c>
      <c r="I86" s="174"/>
      <c r="J86" s="191">
        <f t="shared" si="29"/>
        <v>222.37119999999999</v>
      </c>
      <c r="K86" s="77">
        <v>7.6557000000000004</v>
      </c>
      <c r="L86" s="33">
        <v>3.1480999999999999</v>
      </c>
      <c r="M86" s="33">
        <v>7.0000000000000001E-3</v>
      </c>
      <c r="N86" s="33">
        <v>3.7296</v>
      </c>
      <c r="O86" s="33">
        <v>3.2000999999999999</v>
      </c>
      <c r="P86" s="33">
        <v>12.7646</v>
      </c>
      <c r="Q86" s="175">
        <f t="shared" si="31"/>
        <v>266.69319999999999</v>
      </c>
      <c r="R86" s="27"/>
    </row>
    <row r="87" spans="1:18">
      <c r="A87" s="176"/>
      <c r="B87" s="177" t="s">
        <v>63</v>
      </c>
      <c r="C87" s="192" t="s">
        <v>13</v>
      </c>
      <c r="D87" s="53">
        <v>3378.0855033219386</v>
      </c>
      <c r="E87" s="53">
        <v>2899.88</v>
      </c>
      <c r="F87" s="193">
        <f t="shared" si="27"/>
        <v>6277.9655033219387</v>
      </c>
      <c r="G87" s="78">
        <v>1855.2049999999999</v>
      </c>
      <c r="H87" s="78">
        <v>73148.508000000002</v>
      </c>
      <c r="I87" s="179"/>
      <c r="J87" s="193">
        <f t="shared" si="29"/>
        <v>73148.508000000002</v>
      </c>
      <c r="K87" s="78">
        <v>3056.239</v>
      </c>
      <c r="L87" s="54">
        <v>1648.7339999999999</v>
      </c>
      <c r="M87" s="54">
        <f>2.1*1.08</f>
        <v>2.2680000000000002</v>
      </c>
      <c r="N87" s="54">
        <v>1831.0940000000001</v>
      </c>
      <c r="O87" s="54">
        <v>1486.2829999999999</v>
      </c>
      <c r="P87" s="59">
        <f>4347.635*1.08</f>
        <v>4695.4458000000004</v>
      </c>
      <c r="Q87" s="180">
        <f t="shared" si="31"/>
        <v>94001.742303321924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f t="shared" ref="D88:D89" si="32">D78+D80+D82+D84+D86</f>
        <v>7.0461999999999998</v>
      </c>
      <c r="E88" s="33">
        <f t="shared" ref="E88:E89" si="33">+E78+E80+E82+E84+E86</f>
        <v>6.3228999999999997</v>
      </c>
      <c r="F88" s="191">
        <f t="shared" si="27"/>
        <v>13.3691</v>
      </c>
      <c r="G88" s="49">
        <f t="shared" ref="G88:G89" si="34">+G78+G80+G82+G84+G86</f>
        <v>3.4714</v>
      </c>
      <c r="H88" s="49">
        <f>+H78+H80+H82+H84+H86</f>
        <v>260.03719999999998</v>
      </c>
      <c r="I88" s="50"/>
      <c r="J88" s="191">
        <f t="shared" si="29"/>
        <v>260.03719999999998</v>
      </c>
      <c r="K88" s="49">
        <f t="shared" ref="K88:P89" si="35">+K78+K80+K82+K84+K86</f>
        <v>9.1334999999999997</v>
      </c>
      <c r="L88" s="33">
        <f t="shared" si="35"/>
        <v>3.3739999999999997</v>
      </c>
      <c r="M88" s="33">
        <f t="shared" si="35"/>
        <v>4.6800000000000001E-2</v>
      </c>
      <c r="N88" s="33">
        <f t="shared" si="35"/>
        <v>4.7854999999999999</v>
      </c>
      <c r="O88" s="33">
        <f t="shared" si="35"/>
        <v>3.5848999999999998</v>
      </c>
      <c r="P88" s="33">
        <f t="shared" si="35"/>
        <v>14.160399999999999</v>
      </c>
      <c r="Q88" s="175">
        <f t="shared" si="31"/>
        <v>311.96280000000007</v>
      </c>
      <c r="R88" s="27"/>
    </row>
    <row r="89" spans="1:18">
      <c r="A89" s="183"/>
      <c r="B89" s="309"/>
      <c r="C89" s="192" t="s">
        <v>13</v>
      </c>
      <c r="D89" s="111">
        <f t="shared" si="32"/>
        <v>6234.6206553945331</v>
      </c>
      <c r="E89" s="54">
        <f t="shared" si="33"/>
        <v>4395.6100000000006</v>
      </c>
      <c r="F89" s="193">
        <f t="shared" si="27"/>
        <v>10630.230655394535</v>
      </c>
      <c r="G89" s="68">
        <f t="shared" si="34"/>
        <v>2168.3490000000002</v>
      </c>
      <c r="H89" s="68">
        <f>+H79+H81+H83+H85+H87</f>
        <v>99924.499000000011</v>
      </c>
      <c r="I89" s="63"/>
      <c r="J89" s="193">
        <f t="shared" si="29"/>
        <v>99924.499000000011</v>
      </c>
      <c r="K89" s="68">
        <f t="shared" si="35"/>
        <v>4118.5140000000001</v>
      </c>
      <c r="L89" s="54">
        <f t="shared" si="35"/>
        <v>1992.626</v>
      </c>
      <c r="M89" s="54">
        <f t="shared" si="35"/>
        <v>32.599800000000002</v>
      </c>
      <c r="N89" s="54">
        <f t="shared" si="35"/>
        <v>3248.9970000000003</v>
      </c>
      <c r="O89" s="54">
        <f t="shared" si="35"/>
        <v>2055.3319999999999</v>
      </c>
      <c r="P89" s="54">
        <f t="shared" si="35"/>
        <v>6674.7186000000002</v>
      </c>
      <c r="Q89" s="180">
        <f t="shared" si="31"/>
        <v>130845.86605539455</v>
      </c>
      <c r="R89" s="27"/>
    </row>
    <row r="90" spans="1:18">
      <c r="A90" s="310" t="s">
        <v>64</v>
      </c>
      <c r="B90" s="311"/>
      <c r="C90" s="32" t="s">
        <v>11</v>
      </c>
      <c r="D90" s="52">
        <v>6.7599999999999993E-2</v>
      </c>
      <c r="E90" s="52">
        <v>0.42320000000000002</v>
      </c>
      <c r="F90" s="191">
        <f t="shared" si="27"/>
        <v>0.49080000000000001</v>
      </c>
      <c r="G90" s="77">
        <v>1.3526</v>
      </c>
      <c r="H90" s="77">
        <v>4.6862000000000004</v>
      </c>
      <c r="I90" s="174"/>
      <c r="J90" s="191">
        <f t="shared" si="29"/>
        <v>4.6862000000000004</v>
      </c>
      <c r="K90" s="77">
        <v>0.14949999999999999</v>
      </c>
      <c r="L90" s="33">
        <v>0.36149999999999999</v>
      </c>
      <c r="M90" s="33"/>
      <c r="N90" s="33"/>
      <c r="O90" s="33"/>
      <c r="P90" s="33">
        <v>7.2499999999999995E-2</v>
      </c>
      <c r="Q90" s="175">
        <f t="shared" si="31"/>
        <v>7.1131000000000002</v>
      </c>
      <c r="R90" s="27"/>
    </row>
    <row r="91" spans="1:18">
      <c r="A91" s="312"/>
      <c r="B91" s="313"/>
      <c r="C91" s="192" t="s">
        <v>13</v>
      </c>
      <c r="D91" s="53">
        <v>166.89239719985255</v>
      </c>
      <c r="E91" s="53">
        <v>663.82</v>
      </c>
      <c r="F91" s="193">
        <f t="shared" si="27"/>
        <v>830.7123971998526</v>
      </c>
      <c r="G91" s="78">
        <v>3103.038</v>
      </c>
      <c r="H91" s="78">
        <v>5497.6189999999997</v>
      </c>
      <c r="I91" s="179"/>
      <c r="J91" s="193">
        <f t="shared" si="29"/>
        <v>5497.6189999999997</v>
      </c>
      <c r="K91" s="78">
        <v>291.25099999999998</v>
      </c>
      <c r="L91" s="54">
        <v>729.73299999999995</v>
      </c>
      <c r="M91" s="54"/>
      <c r="N91" s="54"/>
      <c r="O91" s="54"/>
      <c r="P91" s="59">
        <f>102.52*1.08</f>
        <v>110.72160000000001</v>
      </c>
      <c r="Q91" s="180">
        <f t="shared" si="31"/>
        <v>10563.074997199854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27"/>
        <v>0</v>
      </c>
      <c r="G92" s="77">
        <v>0.25</v>
      </c>
      <c r="H92" s="77">
        <v>1674.144</v>
      </c>
      <c r="I92" s="174"/>
      <c r="J92" s="191">
        <f t="shared" si="29"/>
        <v>1674.144</v>
      </c>
      <c r="K92" s="77">
        <v>384.25080000000003</v>
      </c>
      <c r="L92" s="33">
        <v>0.58499999999999996</v>
      </c>
      <c r="M92" s="33"/>
      <c r="N92" s="33">
        <v>17.459</v>
      </c>
      <c r="O92" s="33"/>
      <c r="P92" s="33"/>
      <c r="Q92" s="175">
        <f t="shared" si="31"/>
        <v>2076.6887999999999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27"/>
        <v>0</v>
      </c>
      <c r="G93" s="78">
        <v>80.734999999999999</v>
      </c>
      <c r="H93" s="78">
        <v>271465.16200000001</v>
      </c>
      <c r="I93" s="179"/>
      <c r="J93" s="193">
        <f t="shared" si="29"/>
        <v>271465.16200000001</v>
      </c>
      <c r="K93" s="78">
        <v>57724.302000000003</v>
      </c>
      <c r="L93" s="54">
        <v>119.34</v>
      </c>
      <c r="M93" s="54"/>
      <c r="N93" s="54">
        <v>3963.395</v>
      </c>
      <c r="O93" s="54"/>
      <c r="P93" s="59"/>
      <c r="Q93" s="180">
        <f t="shared" si="31"/>
        <v>333352.93400000007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0.34670000000000001</v>
      </c>
      <c r="F94" s="191">
        <f t="shared" si="27"/>
        <v>0.34670000000000001</v>
      </c>
      <c r="G94" s="77">
        <v>1.5E-3</v>
      </c>
      <c r="H94" s="77">
        <v>7.0000000000000001E-3</v>
      </c>
      <c r="I94" s="174"/>
      <c r="J94" s="191">
        <f t="shared" si="29"/>
        <v>7.0000000000000001E-3</v>
      </c>
      <c r="K94" s="77"/>
      <c r="L94" s="33"/>
      <c r="M94" s="33"/>
      <c r="N94" s="33"/>
      <c r="O94" s="33"/>
      <c r="P94" s="33"/>
      <c r="Q94" s="175">
        <f t="shared" si="31"/>
        <v>0.35520000000000002</v>
      </c>
      <c r="R94" s="27"/>
    </row>
    <row r="95" spans="1:18">
      <c r="A95" s="312"/>
      <c r="B95" s="313"/>
      <c r="C95" s="192" t="s">
        <v>13</v>
      </c>
      <c r="D95" s="53"/>
      <c r="E95" s="53">
        <v>222.71799999999999</v>
      </c>
      <c r="F95" s="193">
        <f t="shared" si="27"/>
        <v>222.71799999999999</v>
      </c>
      <c r="G95" s="78">
        <v>3.9689999999999999</v>
      </c>
      <c r="H95" s="78">
        <v>20.239000000000001</v>
      </c>
      <c r="I95" s="179"/>
      <c r="J95" s="193">
        <f t="shared" si="29"/>
        <v>20.239000000000001</v>
      </c>
      <c r="K95" s="78"/>
      <c r="L95" s="54"/>
      <c r="M95" s="54"/>
      <c r="N95" s="54"/>
      <c r="O95" s="54"/>
      <c r="P95" s="59"/>
      <c r="Q95" s="180">
        <f t="shared" si="31"/>
        <v>246.92599999999999</v>
      </c>
      <c r="R95" s="27"/>
    </row>
    <row r="96" spans="1:18">
      <c r="A96" s="310" t="s">
        <v>67</v>
      </c>
      <c r="B96" s="311"/>
      <c r="C96" s="32" t="s">
        <v>11</v>
      </c>
      <c r="D96" s="52">
        <v>0.26400000000000001</v>
      </c>
      <c r="E96" s="52">
        <v>1.1314</v>
      </c>
      <c r="F96" s="191">
        <f t="shared" si="27"/>
        <v>1.3954</v>
      </c>
      <c r="G96" s="77">
        <v>1.38E-2</v>
      </c>
      <c r="H96" s="77">
        <v>3.4378000000000002</v>
      </c>
      <c r="I96" s="174"/>
      <c r="J96" s="191">
        <f t="shared" si="29"/>
        <v>3.4378000000000002</v>
      </c>
      <c r="K96" s="77">
        <v>6.2E-2</v>
      </c>
      <c r="L96" s="33"/>
      <c r="M96" s="33"/>
      <c r="N96" s="33"/>
      <c r="O96" s="33"/>
      <c r="P96" s="33"/>
      <c r="Q96" s="175">
        <f t="shared" si="31"/>
        <v>4.9090000000000007</v>
      </c>
      <c r="R96" s="27"/>
    </row>
    <row r="97" spans="1:18">
      <c r="A97" s="312"/>
      <c r="B97" s="313"/>
      <c r="C97" s="192" t="s">
        <v>13</v>
      </c>
      <c r="D97" s="53">
        <v>366.87599384449561</v>
      </c>
      <c r="E97" s="53">
        <v>1974.2180000000001</v>
      </c>
      <c r="F97" s="193">
        <f t="shared" si="27"/>
        <v>2341.0939938444958</v>
      </c>
      <c r="G97" s="78">
        <v>24.35</v>
      </c>
      <c r="H97" s="78">
        <v>4955.9480000000003</v>
      </c>
      <c r="I97" s="179"/>
      <c r="J97" s="193">
        <f t="shared" si="29"/>
        <v>4955.9480000000003</v>
      </c>
      <c r="K97" s="78">
        <v>34.387</v>
      </c>
      <c r="L97" s="54"/>
      <c r="M97" s="54"/>
      <c r="N97" s="54"/>
      <c r="O97" s="54"/>
      <c r="P97" s="59"/>
      <c r="Q97" s="180">
        <f t="shared" si="31"/>
        <v>7355.7789938444957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27"/>
        <v>0</v>
      </c>
      <c r="G98" s="77">
        <v>7.0000000000000001E-3</v>
      </c>
      <c r="H98" s="77">
        <v>8.0000000000000002E-3</v>
      </c>
      <c r="I98" s="174"/>
      <c r="J98" s="191">
        <f t="shared" si="29"/>
        <v>8.0000000000000002E-3</v>
      </c>
      <c r="K98" s="77"/>
      <c r="L98" s="33">
        <v>2.1000000000000001E-2</v>
      </c>
      <c r="M98" s="33"/>
      <c r="N98" s="33"/>
      <c r="O98" s="33"/>
      <c r="P98" s="33"/>
      <c r="Q98" s="175">
        <f t="shared" si="31"/>
        <v>3.6000000000000004E-2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27"/>
        <v>0</v>
      </c>
      <c r="G99" s="78">
        <v>5.2919999999999998</v>
      </c>
      <c r="H99" s="78">
        <v>10.303000000000001</v>
      </c>
      <c r="I99" s="179"/>
      <c r="J99" s="193">
        <f t="shared" si="29"/>
        <v>10.303000000000001</v>
      </c>
      <c r="K99" s="78"/>
      <c r="L99" s="54">
        <v>15.422000000000001</v>
      </c>
      <c r="M99" s="54"/>
      <c r="N99" s="54"/>
      <c r="O99" s="54"/>
      <c r="P99" s="92"/>
      <c r="Q99" s="180">
        <f t="shared" si="31"/>
        <v>31.017000000000003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27"/>
        <v>0</v>
      </c>
      <c r="G100" s="77">
        <v>7.0000000000000001E-3</v>
      </c>
      <c r="H100" s="77"/>
      <c r="I100" s="174"/>
      <c r="J100" s="191">
        <f t="shared" si="29"/>
        <v>0</v>
      </c>
      <c r="K100" s="77"/>
      <c r="L100" s="33"/>
      <c r="M100" s="33"/>
      <c r="N100" s="33"/>
      <c r="O100" s="33"/>
      <c r="P100" s="33"/>
      <c r="Q100" s="175">
        <f t="shared" si="31"/>
        <v>7.0000000000000001E-3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27"/>
        <v>0</v>
      </c>
      <c r="G101" s="78">
        <v>6.048</v>
      </c>
      <c r="H101" s="78"/>
      <c r="I101" s="179"/>
      <c r="J101" s="193">
        <f t="shared" si="29"/>
        <v>0</v>
      </c>
      <c r="K101" s="78"/>
      <c r="L101" s="54"/>
      <c r="M101" s="54"/>
      <c r="N101" s="54"/>
      <c r="O101" s="54"/>
      <c r="P101" s="92"/>
      <c r="Q101" s="180">
        <f t="shared" si="31"/>
        <v>6.048</v>
      </c>
      <c r="R101" s="27"/>
    </row>
    <row r="102" spans="1:18">
      <c r="A102" s="310" t="s">
        <v>70</v>
      </c>
      <c r="B102" s="311"/>
      <c r="C102" s="32" t="s">
        <v>11</v>
      </c>
      <c r="D102" s="52">
        <v>3.0918999999999999</v>
      </c>
      <c r="E102" s="271">
        <v>471.67959999999999</v>
      </c>
      <c r="F102" s="191">
        <f t="shared" si="27"/>
        <v>474.7715</v>
      </c>
      <c r="G102" s="77">
        <v>10.0298</v>
      </c>
      <c r="H102" s="77">
        <v>356.49705</v>
      </c>
      <c r="I102" s="174"/>
      <c r="J102" s="191">
        <f t="shared" si="29"/>
        <v>356.49705</v>
      </c>
      <c r="K102" s="77">
        <v>5.1562999999999999</v>
      </c>
      <c r="L102" s="33">
        <v>193.28219999999999</v>
      </c>
      <c r="M102" s="33">
        <v>1.5399</v>
      </c>
      <c r="N102" s="33">
        <v>9.7972999999999999</v>
      </c>
      <c r="O102" s="33">
        <v>4.0206999999999997</v>
      </c>
      <c r="P102" s="33">
        <v>15.231159999999999</v>
      </c>
      <c r="Q102" s="175">
        <f t="shared" si="31"/>
        <v>1070.32591</v>
      </c>
      <c r="R102" s="27"/>
    </row>
    <row r="103" spans="1:18">
      <c r="A103" s="312"/>
      <c r="B103" s="313"/>
      <c r="C103" s="192" t="s">
        <v>13</v>
      </c>
      <c r="D103" s="53">
        <v>7499.3719141743341</v>
      </c>
      <c r="E103" s="53">
        <v>156450.80499999999</v>
      </c>
      <c r="F103" s="193">
        <f t="shared" si="27"/>
        <v>163950.17691417431</v>
      </c>
      <c r="G103" s="78">
        <v>10490.722</v>
      </c>
      <c r="H103" s="78">
        <v>188665.60000000001</v>
      </c>
      <c r="I103" s="179"/>
      <c r="J103" s="193">
        <f t="shared" si="29"/>
        <v>188665.60000000001</v>
      </c>
      <c r="K103" s="78">
        <v>2286.4859999999999</v>
      </c>
      <c r="L103" s="54">
        <v>26254.019</v>
      </c>
      <c r="M103" s="54">
        <f>860.387*1.08</f>
        <v>929.21795999999995</v>
      </c>
      <c r="N103" s="54">
        <v>7660.8090000000002</v>
      </c>
      <c r="O103" s="54">
        <v>3816.1590000000001</v>
      </c>
      <c r="P103" s="59">
        <f>16956.701*1.08</f>
        <v>18313.237080000003</v>
      </c>
      <c r="Q103" s="180">
        <f t="shared" si="31"/>
        <v>422366.42695417424</v>
      </c>
      <c r="R103" s="27"/>
    </row>
    <row r="104" spans="1:18">
      <c r="A104" s="314" t="s">
        <v>71</v>
      </c>
      <c r="B104" s="315"/>
      <c r="C104" s="32" t="s">
        <v>11</v>
      </c>
      <c r="D104" s="110">
        <f t="shared" ref="D104:D105" si="36">D9+D11+D23+D29+D37+D39+D41+D43+D45+D47+D49+D51+D53+D59+D76+D88+D90+D92+D94+D96+D98+D100+D102</f>
        <v>180.52630000000002</v>
      </c>
      <c r="E104" s="33">
        <f t="shared" ref="E104:E105" si="37">+E9+E11+E23+E29+E37+E39+E41+E43+E45+E47+E49+E51+E53+E59+E76+E88+E90+E92+E94+E96+E98+E100+E102</f>
        <v>666.45550000000003</v>
      </c>
      <c r="F104" s="191">
        <f t="shared" si="27"/>
        <v>846.98180000000002</v>
      </c>
      <c r="G104" s="49">
        <f t="shared" ref="G104:H105" si="38">+G9+G11+G23+G29+G37+G39+G41+G43+G45+G47+G49+G51+G53+G59+G76+G88+G90+G92+G94+G96+G98+G100+G102</f>
        <v>971.03089999999986</v>
      </c>
      <c r="H104" s="49">
        <f t="shared" si="38"/>
        <v>5338.9369499999993</v>
      </c>
      <c r="I104" s="50"/>
      <c r="J104" s="191">
        <f t="shared" si="29"/>
        <v>5338.9369499999993</v>
      </c>
      <c r="K104" s="49">
        <f t="shared" ref="K104:P105" si="39">+K9+K11+K23+K29+K37+K39+K41+K43+K45+K47+K49+K51+K53+K59+K76+K88+K90+K92+K94+K96+K98+K100+K102</f>
        <v>989.03790000000015</v>
      </c>
      <c r="L104" s="33">
        <f t="shared" si="39"/>
        <v>233.49224999999998</v>
      </c>
      <c r="M104" s="33">
        <f t="shared" si="39"/>
        <v>1.5867</v>
      </c>
      <c r="N104" s="33">
        <f t="shared" si="39"/>
        <v>34.189799999999998</v>
      </c>
      <c r="O104" s="33">
        <f t="shared" si="39"/>
        <v>7.6356999999999999</v>
      </c>
      <c r="P104" s="33">
        <f t="shared" si="39"/>
        <v>33.563960000000002</v>
      </c>
      <c r="Q104" s="175">
        <f t="shared" si="31"/>
        <v>8456.4559599999993</v>
      </c>
      <c r="R104" s="27"/>
    </row>
    <row r="105" spans="1:18">
      <c r="A105" s="316"/>
      <c r="B105" s="317"/>
      <c r="C105" s="192" t="s">
        <v>13</v>
      </c>
      <c r="D105" s="111">
        <f t="shared" si="36"/>
        <v>143449.37975318325</v>
      </c>
      <c r="E105" s="54">
        <f t="shared" si="37"/>
        <v>289336.97199999995</v>
      </c>
      <c r="F105" s="193">
        <f t="shared" si="27"/>
        <v>432786.35175318317</v>
      </c>
      <c r="G105" s="68">
        <f t="shared" si="38"/>
        <v>360008.74699999997</v>
      </c>
      <c r="H105" s="68">
        <f t="shared" si="38"/>
        <v>925602.40399999986</v>
      </c>
      <c r="I105" s="63"/>
      <c r="J105" s="193">
        <f t="shared" si="29"/>
        <v>925602.40399999986</v>
      </c>
      <c r="K105" s="68">
        <f t="shared" si="39"/>
        <v>254024.99899999995</v>
      </c>
      <c r="L105" s="54">
        <f t="shared" si="39"/>
        <v>52225.135999999999</v>
      </c>
      <c r="M105" s="54">
        <f t="shared" si="39"/>
        <v>961.81775999999991</v>
      </c>
      <c r="N105" s="54">
        <f t="shared" si="39"/>
        <v>15150.454000000002</v>
      </c>
      <c r="O105" s="54">
        <f t="shared" si="39"/>
        <v>5905.6840000000002</v>
      </c>
      <c r="P105" s="54">
        <f t="shared" si="39"/>
        <v>25664.192280000003</v>
      </c>
      <c r="Q105" s="180">
        <f t="shared" si="31"/>
        <v>2072329.7857931829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27"/>
        <v>0</v>
      </c>
      <c r="G106" s="77">
        <v>1.794</v>
      </c>
      <c r="H106" s="77">
        <v>0.52849999999999997</v>
      </c>
      <c r="I106" s="174"/>
      <c r="J106" s="191">
        <f t="shared" si="29"/>
        <v>0.52849999999999997</v>
      </c>
      <c r="K106" s="77">
        <v>7.1099999999999997E-2</v>
      </c>
      <c r="L106" s="33"/>
      <c r="M106" s="33"/>
      <c r="N106" s="33"/>
      <c r="O106" s="33"/>
      <c r="P106" s="33"/>
      <c r="Q106" s="175">
        <f t="shared" si="31"/>
        <v>2.3935999999999997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27"/>
        <v>0</v>
      </c>
      <c r="G107" s="78">
        <v>294.23399999999998</v>
      </c>
      <c r="H107" s="78">
        <v>1309.4680000000001</v>
      </c>
      <c r="I107" s="179"/>
      <c r="J107" s="193">
        <f t="shared" si="29"/>
        <v>1309.4680000000001</v>
      </c>
      <c r="K107" s="78">
        <v>254.71899999999999</v>
      </c>
      <c r="L107" s="54"/>
      <c r="M107" s="54"/>
      <c r="N107" s="54"/>
      <c r="O107" s="54"/>
      <c r="P107" s="92"/>
      <c r="Q107" s="180">
        <f t="shared" si="31"/>
        <v>1858.421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0.86799999999999999</v>
      </c>
      <c r="E108" s="52">
        <v>0.27760000000000001</v>
      </c>
      <c r="F108" s="191">
        <f t="shared" si="27"/>
        <v>1.1456</v>
      </c>
      <c r="G108" s="77">
        <v>2.2364999999999999</v>
      </c>
      <c r="H108" s="77">
        <v>24.3506</v>
      </c>
      <c r="I108" s="174"/>
      <c r="J108" s="191">
        <f t="shared" si="29"/>
        <v>24.3506</v>
      </c>
      <c r="K108" s="77">
        <v>2.1587999999999998</v>
      </c>
      <c r="L108" s="33">
        <v>1.3781000000000001</v>
      </c>
      <c r="M108" s="33"/>
      <c r="N108" s="33"/>
      <c r="O108" s="33">
        <v>1.0224</v>
      </c>
      <c r="P108" s="33">
        <v>0.84809999999999997</v>
      </c>
      <c r="Q108" s="175">
        <f t="shared" si="31"/>
        <v>33.140100000000004</v>
      </c>
      <c r="R108" s="27"/>
    </row>
    <row r="109" spans="1:18">
      <c r="A109" s="176" t="s">
        <v>0</v>
      </c>
      <c r="B109" s="307"/>
      <c r="C109" s="192" t="s">
        <v>13</v>
      </c>
      <c r="D109" s="53">
        <v>843.96058583989384</v>
      </c>
      <c r="E109" s="53">
        <v>171.09299999999999</v>
      </c>
      <c r="F109" s="193">
        <f t="shared" si="27"/>
        <v>1015.0535858398938</v>
      </c>
      <c r="G109" s="78">
        <v>2294.2530000000002</v>
      </c>
      <c r="H109" s="78">
        <v>8863.6929999999993</v>
      </c>
      <c r="I109" s="179"/>
      <c r="J109" s="193">
        <f t="shared" si="29"/>
        <v>8863.6929999999993</v>
      </c>
      <c r="K109" s="78">
        <v>1290.385</v>
      </c>
      <c r="L109" s="54">
        <v>1137.2</v>
      </c>
      <c r="M109" s="54"/>
      <c r="N109" s="54"/>
      <c r="O109" s="54">
        <v>671.024</v>
      </c>
      <c r="P109" s="59">
        <f>530.555*1.08</f>
        <v>572.99940000000004</v>
      </c>
      <c r="Q109" s="180">
        <f t="shared" si="31"/>
        <v>15844.607985839895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0.23780000000000001</v>
      </c>
      <c r="E110" s="52">
        <v>1.2005999999999999</v>
      </c>
      <c r="F110" s="191">
        <f t="shared" si="27"/>
        <v>1.4383999999999999</v>
      </c>
      <c r="G110" s="77">
        <v>0.39629999999999999</v>
      </c>
      <c r="H110" s="77">
        <v>79.830699999999993</v>
      </c>
      <c r="I110" s="174"/>
      <c r="J110" s="191">
        <f t="shared" si="29"/>
        <v>79.830699999999993</v>
      </c>
      <c r="K110" s="77">
        <v>6.9733999999999998</v>
      </c>
      <c r="L110" s="33">
        <v>0.1706</v>
      </c>
      <c r="M110" s="33"/>
      <c r="N110" s="33"/>
      <c r="O110" s="33"/>
      <c r="P110" s="33"/>
      <c r="Q110" s="175">
        <f t="shared" si="31"/>
        <v>88.809399999999982</v>
      </c>
      <c r="R110" s="27"/>
    </row>
    <row r="111" spans="1:18">
      <c r="A111" s="176"/>
      <c r="B111" s="307"/>
      <c r="C111" s="192" t="s">
        <v>13</v>
      </c>
      <c r="D111" s="53">
        <v>150.51959747455803</v>
      </c>
      <c r="E111" s="53">
        <v>1087.376</v>
      </c>
      <c r="F111" s="193">
        <f t="shared" si="27"/>
        <v>1237.8955974745579</v>
      </c>
      <c r="G111" s="78">
        <v>330.58800000000002</v>
      </c>
      <c r="H111" s="78">
        <v>46610.413</v>
      </c>
      <c r="I111" s="179"/>
      <c r="J111" s="193">
        <f t="shared" si="29"/>
        <v>46610.413</v>
      </c>
      <c r="K111" s="78">
        <v>6062.9939999999997</v>
      </c>
      <c r="L111" s="54">
        <v>165.39099999999999</v>
      </c>
      <c r="M111" s="54"/>
      <c r="N111" s="54"/>
      <c r="O111" s="54"/>
      <c r="P111" s="59"/>
      <c r="Q111" s="180">
        <f t="shared" si="31"/>
        <v>54407.281597474561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1.1299999999999999E-2</v>
      </c>
      <c r="E112" s="52">
        <v>0.52910000000000001</v>
      </c>
      <c r="F112" s="191">
        <f t="shared" si="27"/>
        <v>0.54039999999999999</v>
      </c>
      <c r="G112" s="77">
        <v>1.6E-2</v>
      </c>
      <c r="H112" s="77">
        <v>1.5075000000000001</v>
      </c>
      <c r="I112" s="174"/>
      <c r="J112" s="191">
        <f t="shared" si="29"/>
        <v>1.5075000000000001</v>
      </c>
      <c r="K112" s="77"/>
      <c r="L112" s="33"/>
      <c r="M112" s="33"/>
      <c r="N112" s="33"/>
      <c r="O112" s="33"/>
      <c r="P112" s="33">
        <v>0.30880000000000002</v>
      </c>
      <c r="Q112" s="175">
        <f t="shared" si="31"/>
        <v>2.3727000000000005</v>
      </c>
      <c r="R112" s="27"/>
    </row>
    <row r="113" spans="1:18">
      <c r="A113" s="176"/>
      <c r="B113" s="307"/>
      <c r="C113" s="192" t="s">
        <v>13</v>
      </c>
      <c r="D113" s="53">
        <v>80.87039864314346</v>
      </c>
      <c r="E113" s="53">
        <v>1306.9839999999999</v>
      </c>
      <c r="F113" s="193">
        <f t="shared" si="27"/>
        <v>1387.8543986431434</v>
      </c>
      <c r="G113" s="78">
        <v>27.972000000000001</v>
      </c>
      <c r="H113" s="78">
        <v>5295.0140000000001</v>
      </c>
      <c r="I113" s="179"/>
      <c r="J113" s="193">
        <f t="shared" si="29"/>
        <v>5295.0140000000001</v>
      </c>
      <c r="K113" s="78"/>
      <c r="L113" s="54"/>
      <c r="M113" s="54"/>
      <c r="N113" s="54"/>
      <c r="O113" s="54"/>
      <c r="P113" s="59">
        <f>491.97*1.08</f>
        <v>531.32760000000007</v>
      </c>
      <c r="Q113" s="180">
        <f t="shared" si="31"/>
        <v>7242.1679986431445</v>
      </c>
      <c r="R113" s="27"/>
    </row>
    <row r="114" spans="1:18">
      <c r="A114" s="176"/>
      <c r="B114" s="306" t="s">
        <v>78</v>
      </c>
      <c r="C114" s="32" t="s">
        <v>11</v>
      </c>
      <c r="D114" s="52">
        <v>0.3528</v>
      </c>
      <c r="E114" s="52">
        <v>0.42130000000000001</v>
      </c>
      <c r="F114" s="191">
        <f t="shared" si="27"/>
        <v>0.77410000000000001</v>
      </c>
      <c r="G114" s="77">
        <v>2.8525999999999998</v>
      </c>
      <c r="H114" s="77">
        <v>4.3788</v>
      </c>
      <c r="I114" s="174"/>
      <c r="J114" s="191">
        <f t="shared" si="29"/>
        <v>4.3788</v>
      </c>
      <c r="K114" s="77">
        <v>1.0331999999999999</v>
      </c>
      <c r="L114" s="33">
        <v>3.2416999999999998</v>
      </c>
      <c r="M114" s="33"/>
      <c r="N114" s="33">
        <v>0.2853</v>
      </c>
      <c r="O114" s="33">
        <v>9.2999999999999999E-2</v>
      </c>
      <c r="P114" s="33">
        <v>0.41193999999999997</v>
      </c>
      <c r="Q114" s="175">
        <f t="shared" si="31"/>
        <v>13.070639999999997</v>
      </c>
      <c r="R114" s="27"/>
    </row>
    <row r="115" spans="1:18">
      <c r="A115" s="176"/>
      <c r="B115" s="307"/>
      <c r="C115" s="192" t="s">
        <v>13</v>
      </c>
      <c r="D115" s="53">
        <v>480.72959193424168</v>
      </c>
      <c r="E115" s="53">
        <v>601.28800000000001</v>
      </c>
      <c r="F115" s="193">
        <f t="shared" si="27"/>
        <v>1082.0175919342416</v>
      </c>
      <c r="G115" s="78">
        <v>2637.6970000000001</v>
      </c>
      <c r="H115" s="78">
        <v>5168.6670000000004</v>
      </c>
      <c r="I115" s="179"/>
      <c r="J115" s="193">
        <f t="shared" si="29"/>
        <v>5168.6670000000004</v>
      </c>
      <c r="K115" s="78">
        <v>628.11199999999997</v>
      </c>
      <c r="L115" s="54">
        <v>841.94299999999998</v>
      </c>
      <c r="M115" s="54"/>
      <c r="N115" s="54">
        <v>233.066</v>
      </c>
      <c r="O115" s="54">
        <v>20.088000000000001</v>
      </c>
      <c r="P115" s="30">
        <f>437.534*1.08</f>
        <v>472.53672</v>
      </c>
      <c r="Q115" s="180">
        <f t="shared" si="31"/>
        <v>11084.12731193424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7"/>
        <v>0</v>
      </c>
      <c r="G116" s="77">
        <v>1499.64</v>
      </c>
      <c r="H116" s="77"/>
      <c r="I116" s="174"/>
      <c r="J116" s="191">
        <f t="shared" si="29"/>
        <v>0</v>
      </c>
      <c r="K116" s="77">
        <v>2992.68</v>
      </c>
      <c r="L116" s="33">
        <v>1489.02</v>
      </c>
      <c r="M116" s="33"/>
      <c r="N116" s="33"/>
      <c r="O116" s="33"/>
      <c r="P116" s="55"/>
      <c r="Q116" s="175">
        <f t="shared" si="31"/>
        <v>5981.34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7"/>
        <v>0</v>
      </c>
      <c r="G117" s="78">
        <v>88182.247000000003</v>
      </c>
      <c r="H117" s="78"/>
      <c r="I117" s="179"/>
      <c r="J117" s="193">
        <f t="shared" si="29"/>
        <v>0</v>
      </c>
      <c r="K117" s="78">
        <v>163209.739</v>
      </c>
      <c r="L117" s="54">
        <v>78944.770999999993</v>
      </c>
      <c r="M117" s="54"/>
      <c r="N117" s="54"/>
      <c r="O117" s="54"/>
      <c r="P117" s="68"/>
      <c r="Q117" s="180">
        <f t="shared" si="31"/>
        <v>330336.75699999998</v>
      </c>
      <c r="R117" s="27"/>
    </row>
    <row r="118" spans="1:18">
      <c r="A118" s="176"/>
      <c r="B118" s="306" t="s">
        <v>81</v>
      </c>
      <c r="C118" s="32" t="s">
        <v>11</v>
      </c>
      <c r="D118" s="52">
        <v>1.12E-2</v>
      </c>
      <c r="E118" s="52">
        <v>1.0999999999999999E-2</v>
      </c>
      <c r="F118" s="191">
        <f t="shared" si="27"/>
        <v>2.2199999999999998E-2</v>
      </c>
      <c r="G118" s="77"/>
      <c r="H118" s="77">
        <v>0.2198</v>
      </c>
      <c r="I118" s="174"/>
      <c r="J118" s="191">
        <f t="shared" si="29"/>
        <v>0.2198</v>
      </c>
      <c r="K118" s="77"/>
      <c r="L118" s="33"/>
      <c r="M118" s="33"/>
      <c r="N118" s="33"/>
      <c r="O118" s="33"/>
      <c r="P118" s="33"/>
      <c r="Q118" s="175">
        <f t="shared" si="31"/>
        <v>0.24199999999999999</v>
      </c>
      <c r="R118" s="27"/>
    </row>
    <row r="119" spans="1:18">
      <c r="A119" s="176"/>
      <c r="B119" s="307"/>
      <c r="C119" s="192" t="s">
        <v>13</v>
      </c>
      <c r="D119" s="53">
        <v>6.9551998833045401</v>
      </c>
      <c r="E119" s="53">
        <v>13.824</v>
      </c>
      <c r="F119" s="193">
        <f t="shared" si="27"/>
        <v>20.779199883304539</v>
      </c>
      <c r="G119" s="78"/>
      <c r="H119" s="78">
        <v>470.07</v>
      </c>
      <c r="I119" s="179"/>
      <c r="J119" s="193">
        <f t="shared" si="29"/>
        <v>470.07</v>
      </c>
      <c r="K119" s="78"/>
      <c r="L119" s="54"/>
      <c r="M119" s="54"/>
      <c r="N119" s="54"/>
      <c r="O119" s="54"/>
      <c r="P119" s="59"/>
      <c r="Q119" s="180">
        <f t="shared" si="31"/>
        <v>490.84919988330455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0.45300000000000001</v>
      </c>
      <c r="E120" s="52">
        <v>0.8</v>
      </c>
      <c r="F120" s="191">
        <f t="shared" si="27"/>
        <v>1.2530000000000001</v>
      </c>
      <c r="G120" s="77"/>
      <c r="H120" s="77">
        <v>0.23849999999999999</v>
      </c>
      <c r="I120" s="174"/>
      <c r="J120" s="191">
        <f t="shared" si="29"/>
        <v>0.23849999999999999</v>
      </c>
      <c r="K120" s="77">
        <v>0.64500000000000002</v>
      </c>
      <c r="L120" s="33"/>
      <c r="M120" s="33"/>
      <c r="N120" s="33"/>
      <c r="O120" s="33"/>
      <c r="P120" s="33"/>
      <c r="Q120" s="175">
        <f t="shared" si="31"/>
        <v>2.1364999999999998</v>
      </c>
      <c r="R120" s="27"/>
    </row>
    <row r="121" spans="1:18">
      <c r="A121" s="176"/>
      <c r="B121" s="307"/>
      <c r="C121" s="192" t="s">
        <v>13</v>
      </c>
      <c r="D121" s="53">
        <v>192.45599677094236</v>
      </c>
      <c r="E121" s="53">
        <v>345.6</v>
      </c>
      <c r="F121" s="193">
        <f t="shared" si="27"/>
        <v>538.05599677094233</v>
      </c>
      <c r="G121" s="78"/>
      <c r="H121" s="78">
        <v>123.55200000000001</v>
      </c>
      <c r="I121" s="179"/>
      <c r="J121" s="193">
        <f t="shared" si="29"/>
        <v>123.55200000000001</v>
      </c>
      <c r="K121" s="78">
        <v>46.44</v>
      </c>
      <c r="L121" s="54"/>
      <c r="M121" s="54"/>
      <c r="N121" s="54"/>
      <c r="O121" s="54"/>
      <c r="P121" s="92"/>
      <c r="Q121" s="180">
        <f t="shared" si="31"/>
        <v>708.04799677094229</v>
      </c>
      <c r="R121" s="27"/>
    </row>
    <row r="122" spans="1:18">
      <c r="A122" s="176"/>
      <c r="B122" s="306" t="s">
        <v>84</v>
      </c>
      <c r="C122" s="32" t="s">
        <v>11</v>
      </c>
      <c r="D122" s="52">
        <v>5.9859</v>
      </c>
      <c r="E122" s="52">
        <v>0.43569999999999998</v>
      </c>
      <c r="F122" s="191">
        <f t="shared" si="27"/>
        <v>6.4215999999999998</v>
      </c>
      <c r="G122" s="77">
        <v>0.48920000000000002</v>
      </c>
      <c r="H122" s="77">
        <v>5.4730999999999996</v>
      </c>
      <c r="I122" s="174"/>
      <c r="J122" s="191">
        <f t="shared" si="29"/>
        <v>5.4730999999999996</v>
      </c>
      <c r="K122" s="77">
        <v>0.08</v>
      </c>
      <c r="L122" s="33">
        <v>2.5255000000000001</v>
      </c>
      <c r="M122" s="33">
        <v>10.957700000000001</v>
      </c>
      <c r="N122" s="33">
        <v>6.4269999999999996</v>
      </c>
      <c r="O122" s="33"/>
      <c r="P122" s="33">
        <v>0.27100000000000002</v>
      </c>
      <c r="Q122" s="175">
        <f t="shared" si="31"/>
        <v>32.645099999999999</v>
      </c>
      <c r="R122" s="27"/>
    </row>
    <row r="123" spans="1:18">
      <c r="A123" s="176"/>
      <c r="B123" s="307"/>
      <c r="C123" s="192" t="s">
        <v>13</v>
      </c>
      <c r="D123" s="53">
        <v>3326.9939441791616</v>
      </c>
      <c r="E123" s="53">
        <v>365.41300000000001</v>
      </c>
      <c r="F123" s="193">
        <f t="shared" si="27"/>
        <v>3692.4069441791617</v>
      </c>
      <c r="G123" s="78">
        <v>647.54899999999998</v>
      </c>
      <c r="H123" s="78">
        <v>3885.6170000000002</v>
      </c>
      <c r="I123" s="179"/>
      <c r="J123" s="193">
        <f t="shared" si="29"/>
        <v>3885.6170000000002</v>
      </c>
      <c r="K123" s="78">
        <v>56.16</v>
      </c>
      <c r="L123" s="54">
        <v>2306.2910000000002</v>
      </c>
      <c r="M123" s="54">
        <f>17410.022*1.08</f>
        <v>18802.823760000003</v>
      </c>
      <c r="N123" s="54">
        <v>2393.2379999999998</v>
      </c>
      <c r="O123" s="54"/>
      <c r="P123" s="59">
        <f>162.6*1.08</f>
        <v>175.608</v>
      </c>
      <c r="Q123" s="180">
        <f t="shared" si="31"/>
        <v>31959.693704179168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1.7478</v>
      </c>
      <c r="E124" s="52">
        <v>0.89319999999999999</v>
      </c>
      <c r="F124" s="191">
        <f t="shared" si="27"/>
        <v>2.641</v>
      </c>
      <c r="G124" s="77">
        <v>0.40150000000000002</v>
      </c>
      <c r="H124" s="77">
        <v>0.76239999999999997</v>
      </c>
      <c r="I124" s="174"/>
      <c r="J124" s="191">
        <f t="shared" si="29"/>
        <v>0.76239999999999997</v>
      </c>
      <c r="K124" s="77">
        <v>0.53820000000000001</v>
      </c>
      <c r="L124" s="33">
        <v>0.36840000000000001</v>
      </c>
      <c r="M124" s="33"/>
      <c r="N124" s="33"/>
      <c r="O124" s="33">
        <v>2.5999999999999999E-2</v>
      </c>
      <c r="P124" s="33">
        <v>0.3049</v>
      </c>
      <c r="Q124" s="175">
        <f t="shared" si="31"/>
        <v>5.0423999999999998</v>
      </c>
      <c r="R124" s="27"/>
    </row>
    <row r="125" spans="1:18">
      <c r="A125" s="27"/>
      <c r="B125" s="307"/>
      <c r="C125" s="192" t="s">
        <v>13</v>
      </c>
      <c r="D125" s="53">
        <v>2626.8623559260818</v>
      </c>
      <c r="E125" s="53">
        <v>574.32500000000005</v>
      </c>
      <c r="F125" s="193">
        <f t="shared" si="27"/>
        <v>3201.1873559260821</v>
      </c>
      <c r="G125" s="78">
        <v>195.761</v>
      </c>
      <c r="H125" s="78">
        <v>565.63699999999994</v>
      </c>
      <c r="I125" s="179"/>
      <c r="J125" s="193">
        <f t="shared" si="29"/>
        <v>565.63699999999994</v>
      </c>
      <c r="K125" s="78">
        <v>266.26299999999998</v>
      </c>
      <c r="L125" s="54">
        <v>319.71800000000002</v>
      </c>
      <c r="M125" s="54"/>
      <c r="N125" s="54"/>
      <c r="O125" s="54">
        <v>2.8079999999999998</v>
      </c>
      <c r="P125" s="59">
        <f>123.865*1.08</f>
        <v>133.77420000000001</v>
      </c>
      <c r="Q125" s="180">
        <f t="shared" si="31"/>
        <v>4685.1485559260818</v>
      </c>
      <c r="R125" s="27"/>
    </row>
    <row r="126" spans="1:18">
      <c r="A126" s="27"/>
      <c r="B126" s="46" t="s">
        <v>15</v>
      </c>
      <c r="C126" s="32" t="s">
        <v>11</v>
      </c>
      <c r="D126" s="52">
        <v>3.1829999999999998</v>
      </c>
      <c r="E126" s="52">
        <v>4.4999999999999997E-3</v>
      </c>
      <c r="F126" s="191">
        <f t="shared" si="27"/>
        <v>3.1875</v>
      </c>
      <c r="G126" s="77">
        <v>6.4740000000000002</v>
      </c>
      <c r="H126" s="77">
        <v>13.4884</v>
      </c>
      <c r="I126" s="174"/>
      <c r="J126" s="191">
        <f t="shared" si="29"/>
        <v>13.4884</v>
      </c>
      <c r="K126" s="77"/>
      <c r="L126" s="33">
        <v>11.381500000000001</v>
      </c>
      <c r="M126" s="33"/>
      <c r="N126" s="33"/>
      <c r="O126" s="33"/>
      <c r="P126" s="33"/>
      <c r="Q126" s="175">
        <f t="shared" si="31"/>
        <v>34.531400000000005</v>
      </c>
      <c r="R126" s="27"/>
    </row>
    <row r="127" spans="1:18">
      <c r="A127" s="27"/>
      <c r="B127" s="177" t="s">
        <v>86</v>
      </c>
      <c r="C127" s="192" t="s">
        <v>13</v>
      </c>
      <c r="D127" s="53">
        <v>1373.4305769563612</v>
      </c>
      <c r="E127" s="53">
        <v>3.8879999999999999</v>
      </c>
      <c r="F127" s="193">
        <f t="shared" si="27"/>
        <v>1377.3185769563611</v>
      </c>
      <c r="G127" s="78">
        <v>2002.2570000000001</v>
      </c>
      <c r="H127" s="78">
        <v>6057.2349999999997</v>
      </c>
      <c r="I127" s="179"/>
      <c r="J127" s="193">
        <f t="shared" si="29"/>
        <v>6057.2349999999997</v>
      </c>
      <c r="K127" s="78"/>
      <c r="L127" s="54">
        <v>1915.374</v>
      </c>
      <c r="M127" s="54"/>
      <c r="N127" s="54"/>
      <c r="O127" s="54"/>
      <c r="P127" s="54"/>
      <c r="Q127" s="180">
        <f t="shared" si="31"/>
        <v>11352.184576956361</v>
      </c>
      <c r="R127" s="27"/>
    </row>
    <row r="128" spans="1:18">
      <c r="A128" s="27"/>
      <c r="B128" s="308" t="s">
        <v>19</v>
      </c>
      <c r="C128" s="32" t="s">
        <v>11</v>
      </c>
      <c r="D128" s="110">
        <f t="shared" ref="D128:D129" si="40">D106+D108+D110+D112+D114+D116+D118+D120+D122+D124+D126</f>
        <v>12.8508</v>
      </c>
      <c r="E128" s="33">
        <f t="shared" ref="E128:E129" si="41">+E106+E108+E110+E112+E114+E116+E118+E120+E122+E124+E126</f>
        <v>4.5730000000000004</v>
      </c>
      <c r="F128" s="191">
        <f t="shared" si="27"/>
        <v>17.4238</v>
      </c>
      <c r="G128" s="49">
        <f t="shared" ref="G128:H129" si="42">+G106+G108+G110+G112+G114+G116+G118+G120+G122+G124+G126</f>
        <v>1514.3000999999999</v>
      </c>
      <c r="H128" s="49">
        <f t="shared" si="42"/>
        <v>130.7783</v>
      </c>
      <c r="I128" s="50"/>
      <c r="J128" s="191">
        <f t="shared" si="29"/>
        <v>130.7783</v>
      </c>
      <c r="K128" s="49">
        <f t="shared" ref="K128:M129" si="43">+K106+K108+K110+K112+K114+K116+K118+K120+K122+K124+K126</f>
        <v>3004.1796999999997</v>
      </c>
      <c r="L128" s="33">
        <f t="shared" si="43"/>
        <v>1508.0858000000001</v>
      </c>
      <c r="M128" s="33">
        <f>+M106+M108+M110+M112+M114+M116+M118+M120+M122+M124+M126</f>
        <v>10.957700000000001</v>
      </c>
      <c r="N128" s="33">
        <f t="shared" ref="N128:P129" si="44">+N106+N108+N110+N112+N114+N116+N118+N120+N122+N124+N126</f>
        <v>6.7122999999999999</v>
      </c>
      <c r="O128" s="33">
        <f t="shared" si="44"/>
        <v>1.1414</v>
      </c>
      <c r="P128" s="33">
        <f t="shared" si="44"/>
        <v>2.1447400000000001</v>
      </c>
      <c r="Q128" s="175">
        <f t="shared" si="31"/>
        <v>6195.7238399999997</v>
      </c>
      <c r="R128" s="27"/>
    </row>
    <row r="129" spans="1:18">
      <c r="A129" s="183"/>
      <c r="B129" s="309"/>
      <c r="C129" s="192" t="s">
        <v>13</v>
      </c>
      <c r="D129" s="111">
        <f t="shared" si="40"/>
        <v>9082.7782476076882</v>
      </c>
      <c r="E129" s="54">
        <f t="shared" si="41"/>
        <v>4469.7910000000002</v>
      </c>
      <c r="F129" s="193">
        <f t="shared" si="27"/>
        <v>13552.569247607687</v>
      </c>
      <c r="G129" s="68">
        <f t="shared" si="42"/>
        <v>96612.558000000005</v>
      </c>
      <c r="H129" s="68">
        <f t="shared" si="42"/>
        <v>78349.366000000009</v>
      </c>
      <c r="I129" s="63"/>
      <c r="J129" s="193">
        <f t="shared" si="29"/>
        <v>78349.366000000009</v>
      </c>
      <c r="K129" s="68">
        <f t="shared" si="43"/>
        <v>171814.81200000001</v>
      </c>
      <c r="L129" s="54">
        <f t="shared" si="43"/>
        <v>85630.68799999998</v>
      </c>
      <c r="M129" s="54">
        <f t="shared" si="43"/>
        <v>18802.823760000003</v>
      </c>
      <c r="N129" s="54">
        <f t="shared" si="44"/>
        <v>2626.3039999999996</v>
      </c>
      <c r="O129" s="54">
        <f t="shared" si="44"/>
        <v>693.92</v>
      </c>
      <c r="P129" s="54">
        <f t="shared" si="44"/>
        <v>1886.2459200000003</v>
      </c>
      <c r="Q129" s="180">
        <f t="shared" si="31"/>
        <v>469969.28692760767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7"/>
        <v>0</v>
      </c>
      <c r="G130" s="77"/>
      <c r="H130" s="77"/>
      <c r="I130" s="174"/>
      <c r="J130" s="191">
        <f t="shared" si="29"/>
        <v>0</v>
      </c>
      <c r="K130" s="77"/>
      <c r="L130" s="33"/>
      <c r="M130" s="33"/>
      <c r="N130" s="33"/>
      <c r="O130" s="33"/>
      <c r="P130" s="33"/>
      <c r="Q130" s="175">
        <f t="shared" si="31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7"/>
        <v>0</v>
      </c>
      <c r="G131" s="78"/>
      <c r="H131" s="78"/>
      <c r="I131" s="179"/>
      <c r="J131" s="193">
        <f t="shared" si="29"/>
        <v>0</v>
      </c>
      <c r="K131" s="78"/>
      <c r="L131" s="54"/>
      <c r="M131" s="54"/>
      <c r="N131" s="54"/>
      <c r="O131" s="54"/>
      <c r="P131" s="59"/>
      <c r="Q131" s="180">
        <f t="shared" si="31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>
        <v>4.4999999999999998E-2</v>
      </c>
      <c r="E132" s="52"/>
      <c r="F132" s="191">
        <f t="shared" si="27"/>
        <v>4.4999999999999998E-2</v>
      </c>
      <c r="G132" s="77">
        <v>21.071999999999999</v>
      </c>
      <c r="H132" s="77"/>
      <c r="I132" s="174"/>
      <c r="J132" s="191">
        <f t="shared" si="29"/>
        <v>0</v>
      </c>
      <c r="K132" s="77"/>
      <c r="L132" s="33">
        <v>1.095</v>
      </c>
      <c r="M132" s="33"/>
      <c r="N132" s="33"/>
      <c r="O132" s="33"/>
      <c r="P132" s="33"/>
      <c r="Q132" s="175">
        <f t="shared" si="31"/>
        <v>22.212</v>
      </c>
      <c r="R132" s="27"/>
    </row>
    <row r="133" spans="1:18">
      <c r="A133" s="176"/>
      <c r="B133" s="307"/>
      <c r="C133" s="192" t="s">
        <v>13</v>
      </c>
      <c r="D133" s="53">
        <v>41.309999306894198</v>
      </c>
      <c r="E133" s="53"/>
      <c r="F133" s="193">
        <f t="shared" si="27"/>
        <v>41.309999306894198</v>
      </c>
      <c r="G133" s="78">
        <v>5309.3829999999998</v>
      </c>
      <c r="H133" s="78"/>
      <c r="I133" s="179"/>
      <c r="J133" s="193">
        <f t="shared" si="29"/>
        <v>0</v>
      </c>
      <c r="K133" s="78"/>
      <c r="L133" s="54">
        <v>53.395000000000003</v>
      </c>
      <c r="M133" s="54"/>
      <c r="N133" s="54"/>
      <c r="O133" s="54"/>
      <c r="P133" s="59"/>
      <c r="Q133" s="197">
        <f t="shared" si="31"/>
        <v>5404.0879993068947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>
        <v>1.7999999999999999E-2</v>
      </c>
      <c r="E134" s="115"/>
      <c r="F134" s="199">
        <f t="shared" ref="F134:F142" si="45">SUM(D134:E134)</f>
        <v>1.7999999999999999E-2</v>
      </c>
      <c r="G134" s="272">
        <v>0.57679999999999998</v>
      </c>
      <c r="H134" s="139">
        <v>1.6686000000000001</v>
      </c>
      <c r="I134" s="200"/>
      <c r="J134" s="199">
        <f t="shared" ref="J134:J142" si="46">SUM(H134:I134)</f>
        <v>1.6686000000000001</v>
      </c>
      <c r="K134" s="139"/>
      <c r="L134" s="93">
        <v>293.55070000000001</v>
      </c>
      <c r="M134" s="93"/>
      <c r="N134" s="93"/>
      <c r="O134" s="93"/>
      <c r="P134" s="93"/>
      <c r="Q134" s="175">
        <f t="shared" si="31"/>
        <v>295.8141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45"/>
        <v>0</v>
      </c>
      <c r="G135" s="77"/>
      <c r="H135" s="77"/>
      <c r="I135" s="174"/>
      <c r="J135" s="201">
        <f t="shared" si="46"/>
        <v>0</v>
      </c>
      <c r="K135" s="77"/>
      <c r="L135" s="98"/>
      <c r="M135" s="159"/>
      <c r="N135" s="161"/>
      <c r="O135" s="33"/>
      <c r="P135" s="33"/>
      <c r="Q135" s="175">
        <f t="shared" si="31"/>
        <v>0</v>
      </c>
      <c r="R135" s="27"/>
    </row>
    <row r="136" spans="1:18">
      <c r="A136" s="196" t="s">
        <v>18</v>
      </c>
      <c r="B136" s="54"/>
      <c r="C136" s="192" t="s">
        <v>13</v>
      </c>
      <c r="D136" s="53">
        <v>5.8319999021497697</v>
      </c>
      <c r="E136" s="53"/>
      <c r="F136" s="202">
        <f t="shared" si="45"/>
        <v>5.8319999021497697</v>
      </c>
      <c r="G136" s="78">
        <v>657.69899999999996</v>
      </c>
      <c r="H136" s="78">
        <v>1583.9079999999999</v>
      </c>
      <c r="I136" s="179"/>
      <c r="J136" s="202">
        <f t="shared" si="46"/>
        <v>1583.9079999999999</v>
      </c>
      <c r="K136" s="78"/>
      <c r="L136" s="54">
        <v>4050.27</v>
      </c>
      <c r="M136" s="92"/>
      <c r="N136" s="54"/>
      <c r="O136" s="54"/>
      <c r="P136" s="59"/>
      <c r="Q136" s="197">
        <f t="shared" si="31"/>
        <v>6297.70899990215</v>
      </c>
      <c r="R136" s="27"/>
    </row>
    <row r="137" spans="1:18">
      <c r="A137" s="27"/>
      <c r="B137" s="212" t="s">
        <v>0</v>
      </c>
      <c r="C137" s="29" t="s">
        <v>11</v>
      </c>
      <c r="D137" s="30">
        <f>+D130+D132+D134</f>
        <v>6.3E-2</v>
      </c>
      <c r="E137" s="33"/>
      <c r="F137" s="199">
        <f t="shared" si="45"/>
        <v>6.3E-2</v>
      </c>
      <c r="G137" s="49">
        <f t="shared" ref="G137" si="47">G130+G132+G134</f>
        <v>21.648799999999998</v>
      </c>
      <c r="H137" s="49">
        <f t="shared" ref="H137" si="48">+H130+H132+H134</f>
        <v>1.6686000000000001</v>
      </c>
      <c r="I137" s="47"/>
      <c r="J137" s="199">
        <f t="shared" si="46"/>
        <v>1.6686000000000001</v>
      </c>
      <c r="K137" s="182"/>
      <c r="L137" s="33">
        <f t="shared" ref="L137" si="49">+L130+L132+L134</f>
        <v>294.64570000000003</v>
      </c>
      <c r="M137" s="97"/>
      <c r="N137" s="160"/>
      <c r="O137" s="93"/>
      <c r="P137" s="93"/>
      <c r="Q137" s="175">
        <f t="shared" si="31"/>
        <v>318.02610000000004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45"/>
        <v>0</v>
      </c>
      <c r="G138" s="98"/>
      <c r="H138" s="49"/>
      <c r="I138" s="50"/>
      <c r="J138" s="201">
        <f t="shared" si="46"/>
        <v>0</v>
      </c>
      <c r="K138" s="49"/>
      <c r="L138" s="33"/>
      <c r="M138" s="69"/>
      <c r="N138" s="69"/>
      <c r="O138" s="33"/>
      <c r="P138" s="33"/>
      <c r="Q138" s="175">
        <f t="shared" si="31"/>
        <v>0</v>
      </c>
      <c r="R138" s="27"/>
    </row>
    <row r="139" spans="1:18">
      <c r="A139" s="183"/>
      <c r="B139" s="54"/>
      <c r="C139" s="192" t="s">
        <v>13</v>
      </c>
      <c r="D139" s="54">
        <f>+D131+D133+D136</f>
        <v>47.141999209043966</v>
      </c>
      <c r="E139" s="54"/>
      <c r="F139" s="202">
        <f t="shared" si="45"/>
        <v>47.141999209043966</v>
      </c>
      <c r="G139" s="68">
        <f t="shared" ref="G139" si="50">G131+G133+G136</f>
        <v>5967.0819999999994</v>
      </c>
      <c r="H139" s="68">
        <f t="shared" ref="H139" si="51">+H131+H133+H136</f>
        <v>1583.9079999999999</v>
      </c>
      <c r="I139" s="63"/>
      <c r="J139" s="202">
        <f t="shared" si="46"/>
        <v>1583.9079999999999</v>
      </c>
      <c r="K139" s="68"/>
      <c r="L139" s="54">
        <f t="shared" ref="L139" si="52">+L131+L133+L136</f>
        <v>4103.665</v>
      </c>
      <c r="M139" s="70"/>
      <c r="N139" s="70"/>
      <c r="O139" s="54"/>
      <c r="P139" s="54"/>
      <c r="Q139" s="197">
        <f t="shared" si="31"/>
        <v>11701.796999209044</v>
      </c>
      <c r="R139" s="27"/>
    </row>
    <row r="140" spans="1:18">
      <c r="A140" s="27"/>
      <c r="B140" s="28" t="s">
        <v>0</v>
      </c>
      <c r="C140" s="29" t="s">
        <v>11</v>
      </c>
      <c r="D140" s="273">
        <f t="shared" ref="D140:E140" si="53">D137+D128+D104</f>
        <v>193.44010000000003</v>
      </c>
      <c r="E140" s="127">
        <f t="shared" si="53"/>
        <v>671.02850000000001</v>
      </c>
      <c r="F140" s="199">
        <f t="shared" si="45"/>
        <v>864.46860000000004</v>
      </c>
      <c r="G140" s="147">
        <f t="shared" ref="G140:H140" si="54">G137+G128+G104</f>
        <v>2506.9797999999996</v>
      </c>
      <c r="H140" s="152">
        <f t="shared" si="54"/>
        <v>5471.3838499999993</v>
      </c>
      <c r="I140" s="57"/>
      <c r="J140" s="199">
        <f t="shared" si="46"/>
        <v>5471.3838499999993</v>
      </c>
      <c r="K140" s="155">
        <f t="shared" ref="K140:P140" si="55">K137+K128+K104</f>
        <v>3993.2175999999999</v>
      </c>
      <c r="L140" s="93">
        <f t="shared" si="55"/>
        <v>2036.2237500000001</v>
      </c>
      <c r="M140" s="97">
        <f t="shared" si="55"/>
        <v>12.544400000000001</v>
      </c>
      <c r="N140" s="97">
        <f t="shared" si="55"/>
        <v>40.902099999999997</v>
      </c>
      <c r="O140" s="93">
        <f t="shared" si="55"/>
        <v>8.7771000000000008</v>
      </c>
      <c r="P140" s="93">
        <f t="shared" si="55"/>
        <v>35.7087</v>
      </c>
      <c r="Q140" s="175">
        <f t="shared" si="31"/>
        <v>14970.205899999999</v>
      </c>
      <c r="R140" s="27"/>
    </row>
    <row r="141" spans="1:18">
      <c r="A141" s="27"/>
      <c r="B141" s="31" t="s">
        <v>93</v>
      </c>
      <c r="C141" s="32" t="s">
        <v>92</v>
      </c>
      <c r="D141" s="274"/>
      <c r="E141" s="110"/>
      <c r="F141" s="201">
        <f t="shared" si="45"/>
        <v>0</v>
      </c>
      <c r="G141" s="148"/>
      <c r="H141" s="144"/>
      <c r="I141" s="206"/>
      <c r="J141" s="201">
        <f t="shared" si="46"/>
        <v>0</v>
      </c>
      <c r="K141" s="148"/>
      <c r="L141" s="33"/>
      <c r="M141" s="69"/>
      <c r="N141" s="69"/>
      <c r="O141" s="33"/>
      <c r="P141" s="33"/>
      <c r="Q141" s="175">
        <f t="shared" ref="Q141:Q142" si="56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24">
        <f t="shared" ref="D142:E142" si="57">D139+D129+D105</f>
        <v>152579.29999999999</v>
      </c>
      <c r="E142" s="118">
        <f t="shared" si="57"/>
        <v>293806.76299999998</v>
      </c>
      <c r="F142" s="207">
        <f t="shared" si="45"/>
        <v>446386.06299999997</v>
      </c>
      <c r="G142" s="136">
        <f t="shared" ref="G142:H142" si="58">G139+G129+G105</f>
        <v>462588.38699999999</v>
      </c>
      <c r="H142" s="153">
        <f t="shared" si="58"/>
        <v>1005535.6779999998</v>
      </c>
      <c r="I142" s="58"/>
      <c r="J142" s="207">
        <f t="shared" si="46"/>
        <v>1005535.6779999998</v>
      </c>
      <c r="K142" s="136">
        <f t="shared" ref="K142:P142" si="59">K139+K129+K105</f>
        <v>425839.81099999999</v>
      </c>
      <c r="L142" s="37">
        <f t="shared" si="59"/>
        <v>141959.48899999997</v>
      </c>
      <c r="M142" s="71">
        <f t="shared" si="59"/>
        <v>19764.641520000005</v>
      </c>
      <c r="N142" s="71">
        <f t="shared" si="59"/>
        <v>17776.758000000002</v>
      </c>
      <c r="O142" s="37">
        <f t="shared" si="59"/>
        <v>6599.6040000000003</v>
      </c>
      <c r="P142" s="37">
        <f t="shared" si="59"/>
        <v>27550.438200000004</v>
      </c>
      <c r="Q142" s="187">
        <f t="shared" si="56"/>
        <v>2554000.8697199998</v>
      </c>
      <c r="R142" s="27"/>
    </row>
    <row r="143" spans="1:18">
      <c r="Q143" s="208" t="s">
        <v>94</v>
      </c>
    </row>
    <row r="145" spans="7:13">
      <c r="G145" s="268"/>
    </row>
    <row r="146" spans="7:13">
      <c r="G146" s="268"/>
      <c r="M146" s="47"/>
    </row>
    <row r="147" spans="7:13">
      <c r="G147" s="47"/>
      <c r="M147" s="47"/>
    </row>
    <row r="148" spans="7:13">
      <c r="G148" s="47"/>
      <c r="M148" s="47"/>
    </row>
    <row r="149" spans="7:13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56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80"/>
      <c r="E5" s="248"/>
      <c r="F5" s="173">
        <f>SUM(D5:E5)</f>
        <v>0</v>
      </c>
      <c r="G5" s="249">
        <v>13.09</v>
      </c>
      <c r="H5" s="249">
        <v>85.708600000000004</v>
      </c>
      <c r="I5" s="174"/>
      <c r="J5" s="173">
        <f>SUM(H5:I5)</f>
        <v>85.708600000000004</v>
      </c>
      <c r="K5" s="250">
        <v>168.84899999999999</v>
      </c>
      <c r="L5" s="33"/>
      <c r="M5" s="33"/>
      <c r="N5" s="33"/>
      <c r="O5" s="33"/>
      <c r="P5" s="33"/>
      <c r="Q5" s="175">
        <f>SUM(F5:G5,J5:P5)</f>
        <v>267.64760000000001</v>
      </c>
      <c r="R5" s="47"/>
    </row>
    <row r="6" spans="1:18">
      <c r="A6" s="176" t="s">
        <v>12</v>
      </c>
      <c r="B6" s="307"/>
      <c r="C6" s="177" t="s">
        <v>13</v>
      </c>
      <c r="D6" s="81"/>
      <c r="E6" s="251"/>
      <c r="F6" s="178">
        <f>SUM(D6:E6)</f>
        <v>0</v>
      </c>
      <c r="G6" s="252">
        <v>1302.04</v>
      </c>
      <c r="H6" s="252">
        <v>7832.3090000000002</v>
      </c>
      <c r="I6" s="179"/>
      <c r="J6" s="178">
        <f>SUM(H6:I6)</f>
        <v>7832.3090000000002</v>
      </c>
      <c r="K6" s="252">
        <v>14123.262000000001</v>
      </c>
      <c r="L6" s="54"/>
      <c r="M6" s="54"/>
      <c r="N6" s="54"/>
      <c r="O6" s="54"/>
      <c r="P6" s="54"/>
      <c r="Q6" s="180">
        <f>SUM(F6:G6,J6:P6)</f>
        <v>23257.611000000001</v>
      </c>
      <c r="R6" s="47"/>
    </row>
    <row r="7" spans="1:18">
      <c r="A7" s="176" t="s">
        <v>14</v>
      </c>
      <c r="B7" s="46" t="s">
        <v>15</v>
      </c>
      <c r="C7" s="48" t="s">
        <v>11</v>
      </c>
      <c r="D7" s="82"/>
      <c r="E7" s="253">
        <v>0.35599999999999998</v>
      </c>
      <c r="F7" s="181">
        <f t="shared" ref="F7:F68" si="0">SUM(D7:E7)</f>
        <v>0.35599999999999998</v>
      </c>
      <c r="G7" s="249">
        <v>5.1999999999999998E-2</v>
      </c>
      <c r="H7" s="249">
        <v>29.376000000000001</v>
      </c>
      <c r="I7" s="174"/>
      <c r="J7" s="181">
        <f t="shared" ref="J7:J68" si="1">SUM(H7:I7)</f>
        <v>29.376000000000001</v>
      </c>
      <c r="K7" s="249">
        <v>4.4574999999999996</v>
      </c>
      <c r="L7" s="33"/>
      <c r="M7" s="33"/>
      <c r="N7" s="33"/>
      <c r="O7" s="33"/>
      <c r="P7" s="33"/>
      <c r="Q7" s="175">
        <f t="shared" ref="Q7:Q68" si="2">SUM(F7:G7,J7:P7)</f>
        <v>34.241500000000002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81"/>
      <c r="E8" s="251">
        <v>149.04</v>
      </c>
      <c r="F8" s="178">
        <f t="shared" si="0"/>
        <v>149.04</v>
      </c>
      <c r="G8" s="252">
        <v>1.641</v>
      </c>
      <c r="H8" s="252">
        <v>1455.595</v>
      </c>
      <c r="I8" s="179"/>
      <c r="J8" s="178">
        <f t="shared" si="1"/>
        <v>1455.595</v>
      </c>
      <c r="K8" s="252">
        <v>213.30500000000001</v>
      </c>
      <c r="L8" s="54"/>
      <c r="M8" s="54"/>
      <c r="N8" s="54"/>
      <c r="O8" s="54"/>
      <c r="P8" s="54"/>
      <c r="Q8" s="180">
        <f t="shared" si="2"/>
        <v>1819.5810000000001</v>
      </c>
      <c r="R8" s="47"/>
    </row>
    <row r="9" spans="1:18">
      <c r="A9" s="176" t="s">
        <v>18</v>
      </c>
      <c r="B9" s="308" t="s">
        <v>19</v>
      </c>
      <c r="C9" s="48" t="s">
        <v>11</v>
      </c>
      <c r="D9" s="49"/>
      <c r="E9" s="33">
        <f t="shared" ref="E9:E10" si="3">+E5+E7</f>
        <v>0.35599999999999998</v>
      </c>
      <c r="F9" s="181">
        <f>SUM(D9:E9)</f>
        <v>0.35599999999999998</v>
      </c>
      <c r="G9" s="49">
        <f t="shared" ref="G9:H10" si="4">+G5+G7</f>
        <v>13.141999999999999</v>
      </c>
      <c r="H9" s="49">
        <f t="shared" si="4"/>
        <v>115.08460000000001</v>
      </c>
      <c r="I9" s="50"/>
      <c r="J9" s="181">
        <f>SUM(H9:I9)</f>
        <v>115.08460000000001</v>
      </c>
      <c r="K9" s="49">
        <f t="shared" ref="K9:K10" si="5">+K5+K7</f>
        <v>173.3065</v>
      </c>
      <c r="L9" s="33"/>
      <c r="M9" s="33"/>
      <c r="N9" s="33"/>
      <c r="O9" s="33"/>
      <c r="P9" s="33"/>
      <c r="Q9" s="175">
        <f t="shared" si="2"/>
        <v>301.88909999999998</v>
      </c>
      <c r="R9" s="47"/>
    </row>
    <row r="10" spans="1:18">
      <c r="A10" s="183"/>
      <c r="B10" s="309"/>
      <c r="C10" s="177" t="s">
        <v>13</v>
      </c>
      <c r="D10" s="68"/>
      <c r="E10" s="54">
        <f t="shared" si="3"/>
        <v>149.04</v>
      </c>
      <c r="F10" s="178">
        <f t="shared" si="0"/>
        <v>149.04</v>
      </c>
      <c r="G10" s="68">
        <f t="shared" si="4"/>
        <v>1303.681</v>
      </c>
      <c r="H10" s="68">
        <f t="shared" si="4"/>
        <v>9287.9040000000005</v>
      </c>
      <c r="I10" s="63"/>
      <c r="J10" s="178">
        <f t="shared" si="1"/>
        <v>9287.9040000000005</v>
      </c>
      <c r="K10" s="68">
        <f t="shared" si="5"/>
        <v>14336.567000000001</v>
      </c>
      <c r="L10" s="54"/>
      <c r="M10" s="54"/>
      <c r="N10" s="54"/>
      <c r="O10" s="54"/>
      <c r="P10" s="54"/>
      <c r="Q10" s="180">
        <f t="shared" si="2"/>
        <v>25077.192000000003</v>
      </c>
      <c r="R10" s="47"/>
    </row>
    <row r="11" spans="1:18">
      <c r="A11" s="310" t="s">
        <v>20</v>
      </c>
      <c r="B11" s="311"/>
      <c r="C11" s="48" t="s">
        <v>11</v>
      </c>
      <c r="D11" s="82">
        <v>4.9532999999999996</v>
      </c>
      <c r="E11" s="253">
        <v>1.1861999999999999</v>
      </c>
      <c r="F11" s="181">
        <f t="shared" si="0"/>
        <v>6.1395</v>
      </c>
      <c r="G11" s="249">
        <v>2.8300999999999998</v>
      </c>
      <c r="H11" s="249">
        <v>522.09100000000001</v>
      </c>
      <c r="I11" s="174"/>
      <c r="J11" s="181">
        <f t="shared" si="1"/>
        <v>522.09100000000001</v>
      </c>
      <c r="K11" s="249"/>
      <c r="L11" s="33"/>
      <c r="M11" s="33"/>
      <c r="N11" s="33"/>
      <c r="O11" s="33"/>
      <c r="P11" s="33"/>
      <c r="Q11" s="175">
        <f t="shared" si="2"/>
        <v>531.06060000000002</v>
      </c>
      <c r="R11" s="47"/>
    </row>
    <row r="12" spans="1:18">
      <c r="A12" s="312"/>
      <c r="B12" s="313"/>
      <c r="C12" s="177" t="s">
        <v>13</v>
      </c>
      <c r="D12" s="83">
        <v>1564.1262174279698</v>
      </c>
      <c r="E12" s="251">
        <v>631.51499999999999</v>
      </c>
      <c r="F12" s="178">
        <f t="shared" si="0"/>
        <v>2195.6412174279699</v>
      </c>
      <c r="G12" s="252">
        <v>1478.9159999999999</v>
      </c>
      <c r="H12" s="252">
        <v>76649.267000000007</v>
      </c>
      <c r="I12" s="179"/>
      <c r="J12" s="178">
        <f t="shared" si="1"/>
        <v>76649.267000000007</v>
      </c>
      <c r="K12" s="252"/>
      <c r="L12" s="54"/>
      <c r="M12" s="54"/>
      <c r="N12" s="54"/>
      <c r="O12" s="54"/>
      <c r="P12" s="54"/>
      <c r="Q12" s="180">
        <f t="shared" si="2"/>
        <v>80323.824217427973</v>
      </c>
      <c r="R12" s="47"/>
    </row>
    <row r="13" spans="1:18">
      <c r="A13" s="27"/>
      <c r="B13" s="306" t="s">
        <v>21</v>
      </c>
      <c r="C13" s="48" t="s">
        <v>11</v>
      </c>
      <c r="D13" s="82">
        <v>4.9836</v>
      </c>
      <c r="E13" s="253">
        <v>14.387499999999999</v>
      </c>
      <c r="F13" s="181">
        <f t="shared" si="0"/>
        <v>19.371099999999998</v>
      </c>
      <c r="G13" s="249">
        <v>2.3302999999999998</v>
      </c>
      <c r="H13" s="249">
        <v>36.158000000000001</v>
      </c>
      <c r="I13" s="174"/>
      <c r="J13" s="181">
        <f t="shared" si="1"/>
        <v>36.158000000000001</v>
      </c>
      <c r="K13" s="249">
        <v>0.45300000000000001</v>
      </c>
      <c r="L13" s="33">
        <v>0.1439</v>
      </c>
      <c r="M13" s="33"/>
      <c r="N13" s="33"/>
      <c r="O13" s="33"/>
      <c r="P13" s="33"/>
      <c r="Q13" s="175">
        <f t="shared" si="2"/>
        <v>58.456300000000006</v>
      </c>
      <c r="R13" s="47"/>
    </row>
    <row r="14" spans="1:18">
      <c r="A14" s="172" t="s">
        <v>0</v>
      </c>
      <c r="B14" s="307"/>
      <c r="C14" s="177" t="s">
        <v>13</v>
      </c>
      <c r="D14" s="83">
        <v>16164.21978010665</v>
      </c>
      <c r="E14" s="251">
        <v>43051.64</v>
      </c>
      <c r="F14" s="178">
        <f t="shared" si="0"/>
        <v>59215.85978010665</v>
      </c>
      <c r="G14" s="252">
        <v>2948.5619999999999</v>
      </c>
      <c r="H14" s="252">
        <v>76615.182000000001</v>
      </c>
      <c r="I14" s="179"/>
      <c r="J14" s="178">
        <f t="shared" si="1"/>
        <v>76615.182000000001</v>
      </c>
      <c r="K14" s="252">
        <v>1219.249</v>
      </c>
      <c r="L14" s="54">
        <v>451.24599999999998</v>
      </c>
      <c r="M14" s="54"/>
      <c r="N14" s="54"/>
      <c r="O14" s="54"/>
      <c r="P14" s="54"/>
      <c r="Q14" s="180">
        <f t="shared" si="2"/>
        <v>140450.09878010667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82">
        <v>12.422000000000001</v>
      </c>
      <c r="E15" s="253">
        <v>0.1095</v>
      </c>
      <c r="F15" s="181">
        <f t="shared" si="0"/>
        <v>12.531500000000001</v>
      </c>
      <c r="G15" s="249">
        <v>2.9009</v>
      </c>
      <c r="H15" s="249">
        <v>9.1343999999999994</v>
      </c>
      <c r="I15" s="174"/>
      <c r="J15" s="181">
        <f t="shared" si="1"/>
        <v>9.1343999999999994</v>
      </c>
      <c r="K15" s="249">
        <v>5.67E-2</v>
      </c>
      <c r="L15" s="33">
        <v>3.5999999999999999E-3</v>
      </c>
      <c r="M15" s="33"/>
      <c r="N15" s="33"/>
      <c r="O15" s="33"/>
      <c r="P15" s="33"/>
      <c r="Q15" s="175">
        <f t="shared" si="2"/>
        <v>24.627099999999999</v>
      </c>
      <c r="R15" s="47"/>
    </row>
    <row r="16" spans="1:18">
      <c r="A16" s="176" t="s">
        <v>0</v>
      </c>
      <c r="B16" s="307"/>
      <c r="C16" s="177" t="s">
        <v>13</v>
      </c>
      <c r="D16" s="83">
        <v>4374.4795687417809</v>
      </c>
      <c r="E16" s="251">
        <v>184.93899999999999</v>
      </c>
      <c r="F16" s="178">
        <f t="shared" si="0"/>
        <v>4559.4185687417812</v>
      </c>
      <c r="G16" s="252">
        <v>2734.0160000000001</v>
      </c>
      <c r="H16" s="252">
        <v>13466.329</v>
      </c>
      <c r="I16" s="179"/>
      <c r="J16" s="178">
        <f t="shared" si="1"/>
        <v>13466.329</v>
      </c>
      <c r="K16" s="252">
        <v>95.106999999999999</v>
      </c>
      <c r="L16" s="54">
        <v>4.6660000000000004</v>
      </c>
      <c r="M16" s="54"/>
      <c r="N16" s="54"/>
      <c r="O16" s="54"/>
      <c r="P16" s="54"/>
      <c r="Q16" s="180">
        <f t="shared" si="2"/>
        <v>20859.53656874178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82">
        <v>54.196399999999997</v>
      </c>
      <c r="E17" s="253">
        <v>23.567799999999998</v>
      </c>
      <c r="F17" s="181">
        <f t="shared" si="0"/>
        <v>77.764199999999988</v>
      </c>
      <c r="G17" s="249">
        <v>47.518799999999999</v>
      </c>
      <c r="H17" s="249">
        <v>16.038</v>
      </c>
      <c r="I17" s="174"/>
      <c r="J17" s="181">
        <f t="shared" si="1"/>
        <v>16.038</v>
      </c>
      <c r="K17" s="249"/>
      <c r="L17" s="33">
        <v>0.36849999999999999</v>
      </c>
      <c r="M17" s="33"/>
      <c r="N17" s="33"/>
      <c r="O17" s="33"/>
      <c r="P17" s="33"/>
      <c r="Q17" s="175">
        <f t="shared" si="2"/>
        <v>141.68950000000001</v>
      </c>
      <c r="R17" s="47"/>
    </row>
    <row r="18" spans="1:18">
      <c r="A18" s="176"/>
      <c r="B18" s="307"/>
      <c r="C18" s="177" t="s">
        <v>13</v>
      </c>
      <c r="D18" s="83">
        <v>48921.473345097933</v>
      </c>
      <c r="E18" s="251">
        <v>28547.4</v>
      </c>
      <c r="F18" s="178">
        <f t="shared" si="0"/>
        <v>77468.873345097934</v>
      </c>
      <c r="G18" s="252">
        <v>48411.120999999999</v>
      </c>
      <c r="H18" s="252">
        <v>3301.4920000000002</v>
      </c>
      <c r="I18" s="179"/>
      <c r="J18" s="178">
        <f t="shared" si="1"/>
        <v>3301.4920000000002</v>
      </c>
      <c r="K18" s="252"/>
      <c r="L18" s="54">
        <v>618.38900000000001</v>
      </c>
      <c r="M18" s="54"/>
      <c r="N18" s="54"/>
      <c r="O18" s="54"/>
      <c r="P18" s="54"/>
      <c r="Q18" s="180">
        <f t="shared" si="2"/>
        <v>129799.87534509793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82">
        <v>18.607600000000001</v>
      </c>
      <c r="E19" s="253">
        <v>11.91</v>
      </c>
      <c r="F19" s="181">
        <f t="shared" si="0"/>
        <v>30.517600000000002</v>
      </c>
      <c r="G19" s="249">
        <v>2.5882000000000001</v>
      </c>
      <c r="H19" s="249">
        <v>2.6709999999999998</v>
      </c>
      <c r="I19" s="174"/>
      <c r="J19" s="181">
        <f t="shared" si="1"/>
        <v>2.6709999999999998</v>
      </c>
      <c r="K19" s="249"/>
      <c r="L19" s="33"/>
      <c r="M19" s="33"/>
      <c r="N19" s="33"/>
      <c r="O19" s="33"/>
      <c r="P19" s="33"/>
      <c r="Q19" s="175">
        <f t="shared" si="2"/>
        <v>35.776800000000001</v>
      </c>
      <c r="R19" s="47"/>
    </row>
    <row r="20" spans="1:18">
      <c r="A20" s="176"/>
      <c r="B20" s="177" t="s">
        <v>28</v>
      </c>
      <c r="C20" s="177" t="s">
        <v>13</v>
      </c>
      <c r="D20" s="83">
        <v>11630.690769592691</v>
      </c>
      <c r="E20" s="251">
        <v>6489.7669999999998</v>
      </c>
      <c r="F20" s="178">
        <f t="shared" si="0"/>
        <v>18120.457769592693</v>
      </c>
      <c r="G20" s="252">
        <v>1895.5340000000001</v>
      </c>
      <c r="H20" s="252">
        <v>874.45399999999995</v>
      </c>
      <c r="I20" s="179"/>
      <c r="J20" s="178">
        <f t="shared" si="1"/>
        <v>874.45399999999995</v>
      </c>
      <c r="K20" s="252"/>
      <c r="L20" s="54"/>
      <c r="M20" s="54"/>
      <c r="N20" s="54"/>
      <c r="O20" s="54"/>
      <c r="P20" s="54"/>
      <c r="Q20" s="180">
        <f t="shared" si="2"/>
        <v>20890.445769592694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82">
        <v>118.45659999999999</v>
      </c>
      <c r="E21" s="253">
        <v>200.0556</v>
      </c>
      <c r="F21" s="181">
        <f t="shared" si="0"/>
        <v>318.51220000000001</v>
      </c>
      <c r="G21" s="249">
        <v>19.171800000000001</v>
      </c>
      <c r="H21" s="249">
        <v>209.56</v>
      </c>
      <c r="I21" s="174"/>
      <c r="J21" s="181">
        <f t="shared" si="1"/>
        <v>209.56</v>
      </c>
      <c r="K21" s="249"/>
      <c r="L21" s="33"/>
      <c r="M21" s="33"/>
      <c r="N21" s="33"/>
      <c r="O21" s="33"/>
      <c r="P21" s="33"/>
      <c r="Q21" s="175">
        <f t="shared" si="2"/>
        <v>547.24400000000003</v>
      </c>
      <c r="R21" s="47"/>
    </row>
    <row r="22" spans="1:18">
      <c r="A22" s="27"/>
      <c r="B22" s="307"/>
      <c r="C22" s="177" t="s">
        <v>13</v>
      </c>
      <c r="D22" s="84">
        <v>30391.650698633013</v>
      </c>
      <c r="E22" s="251">
        <v>55805.908000000003</v>
      </c>
      <c r="F22" s="178">
        <f t="shared" si="0"/>
        <v>86197.558698633016</v>
      </c>
      <c r="G22" s="252">
        <v>4656.4979999999996</v>
      </c>
      <c r="H22" s="252">
        <v>59821.402999999998</v>
      </c>
      <c r="I22" s="179"/>
      <c r="J22" s="178">
        <f t="shared" si="1"/>
        <v>59821.402999999998</v>
      </c>
      <c r="K22" s="252"/>
      <c r="L22" s="54"/>
      <c r="M22" s="54"/>
      <c r="N22" s="54"/>
      <c r="O22" s="54"/>
      <c r="P22" s="54"/>
      <c r="Q22" s="180">
        <f t="shared" si="2"/>
        <v>150675.459698633</v>
      </c>
      <c r="R22" s="47"/>
    </row>
    <row r="23" spans="1:18">
      <c r="A23" s="27"/>
      <c r="B23" s="308" t="s">
        <v>19</v>
      </c>
      <c r="C23" s="48" t="s">
        <v>11</v>
      </c>
      <c r="D23" s="55">
        <f t="shared" ref="D23:D24" si="6">D13+D15+D17+D19+D21</f>
        <v>208.6662</v>
      </c>
      <c r="E23" s="33">
        <f t="shared" ref="E23:E24" si="7">+E13+E15+E17+E19+E21</f>
        <v>250.03039999999999</v>
      </c>
      <c r="F23" s="181">
        <f t="shared" si="0"/>
        <v>458.69659999999999</v>
      </c>
      <c r="G23" s="49">
        <f t="shared" ref="G23:H24" si="8">+G13+G15+G17+G19+G21</f>
        <v>74.510000000000005</v>
      </c>
      <c r="H23" s="49">
        <f t="shared" si="8"/>
        <v>273.56139999999999</v>
      </c>
      <c r="I23" s="50"/>
      <c r="J23" s="181">
        <f t="shared" si="1"/>
        <v>273.56139999999999</v>
      </c>
      <c r="K23" s="49">
        <f t="shared" ref="K23:L24" si="9">+K13+K15+K17+K19+K21</f>
        <v>0.50970000000000004</v>
      </c>
      <c r="L23" s="33">
        <f t="shared" si="9"/>
        <v>0.51600000000000001</v>
      </c>
      <c r="M23" s="33"/>
      <c r="N23" s="33"/>
      <c r="O23" s="33"/>
      <c r="P23" s="33"/>
      <c r="Q23" s="175">
        <f t="shared" si="2"/>
        <v>807.79369999999994</v>
      </c>
      <c r="R23" s="47"/>
    </row>
    <row r="24" spans="1:18">
      <c r="A24" s="183"/>
      <c r="B24" s="309"/>
      <c r="C24" s="177" t="s">
        <v>13</v>
      </c>
      <c r="D24" s="68">
        <f t="shared" si="6"/>
        <v>111482.51416217207</v>
      </c>
      <c r="E24" s="54">
        <f t="shared" si="7"/>
        <v>134079.65399999998</v>
      </c>
      <c r="F24" s="178">
        <f t="shared" si="0"/>
        <v>245562.16816217205</v>
      </c>
      <c r="G24" s="68">
        <f t="shared" si="8"/>
        <v>60645.731</v>
      </c>
      <c r="H24" s="68">
        <f t="shared" si="8"/>
        <v>154078.85999999999</v>
      </c>
      <c r="I24" s="63"/>
      <c r="J24" s="178">
        <f t="shared" si="1"/>
        <v>154078.85999999999</v>
      </c>
      <c r="K24" s="68">
        <f t="shared" si="9"/>
        <v>1314.356</v>
      </c>
      <c r="L24" s="54">
        <f t="shared" si="9"/>
        <v>1074.3009999999999</v>
      </c>
      <c r="M24" s="54"/>
      <c r="N24" s="54"/>
      <c r="O24" s="54"/>
      <c r="P24" s="54"/>
      <c r="Q24" s="180">
        <f t="shared" si="2"/>
        <v>462675.41616217204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85">
        <v>2.3502000000000001</v>
      </c>
      <c r="E25" s="253">
        <v>3.6349999999999998</v>
      </c>
      <c r="F25" s="181">
        <f t="shared" si="0"/>
        <v>5.9851999999999999</v>
      </c>
      <c r="G25" s="249">
        <v>128.30260000000001</v>
      </c>
      <c r="H25" s="249"/>
      <c r="I25" s="174"/>
      <c r="J25" s="181">
        <f t="shared" si="1"/>
        <v>0</v>
      </c>
      <c r="K25" s="249"/>
      <c r="L25" s="33">
        <v>4.7849999999999997E-2</v>
      </c>
      <c r="M25" s="33"/>
      <c r="N25" s="33"/>
      <c r="O25" s="33"/>
      <c r="P25" s="33"/>
      <c r="Q25" s="175">
        <f t="shared" si="2"/>
        <v>134.33565000000002</v>
      </c>
      <c r="R25" s="47"/>
    </row>
    <row r="26" spans="1:18">
      <c r="A26" s="176" t="s">
        <v>31</v>
      </c>
      <c r="B26" s="307"/>
      <c r="C26" s="177" t="s">
        <v>13</v>
      </c>
      <c r="D26" s="86">
        <v>1909.9260212809763</v>
      </c>
      <c r="E26" s="251">
        <v>3410.4670000000001</v>
      </c>
      <c r="F26" s="178">
        <f t="shared" si="0"/>
        <v>5320.3930212809764</v>
      </c>
      <c r="G26" s="252">
        <v>128607.194</v>
      </c>
      <c r="H26" s="252"/>
      <c r="I26" s="179"/>
      <c r="J26" s="178">
        <f t="shared" si="1"/>
        <v>0</v>
      </c>
      <c r="K26" s="252"/>
      <c r="L26" s="54">
        <v>88.263999999999996</v>
      </c>
      <c r="M26" s="54"/>
      <c r="N26" s="54"/>
      <c r="O26" s="54"/>
      <c r="P26" s="54"/>
      <c r="Q26" s="180">
        <f t="shared" si="2"/>
        <v>134015.85102128098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85">
        <v>11.772</v>
      </c>
      <c r="E27" s="253">
        <v>5.4</v>
      </c>
      <c r="F27" s="181">
        <f t="shared" si="0"/>
        <v>17.172000000000001</v>
      </c>
      <c r="G27" s="249">
        <v>11.1396</v>
      </c>
      <c r="H27" s="249">
        <v>4.2000000000000003E-2</v>
      </c>
      <c r="I27" s="174"/>
      <c r="J27" s="181">
        <f t="shared" si="1"/>
        <v>4.2000000000000003E-2</v>
      </c>
      <c r="K27" s="249"/>
      <c r="L27" s="33"/>
      <c r="M27" s="33"/>
      <c r="N27" s="33"/>
      <c r="O27" s="33"/>
      <c r="P27" s="33"/>
      <c r="Q27" s="175">
        <f t="shared" si="2"/>
        <v>28.3536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86">
        <v>3449.5200384356008</v>
      </c>
      <c r="E28" s="251">
        <v>2045.9829999999999</v>
      </c>
      <c r="F28" s="178">
        <f t="shared" si="0"/>
        <v>5495.5030384356005</v>
      </c>
      <c r="G28" s="252">
        <v>5486.1409999999996</v>
      </c>
      <c r="H28" s="254">
        <v>1.361</v>
      </c>
      <c r="I28" s="179"/>
      <c r="J28" s="178">
        <f t="shared" si="1"/>
        <v>1.361</v>
      </c>
      <c r="K28" s="252"/>
      <c r="L28" s="54"/>
      <c r="M28" s="54"/>
      <c r="N28" s="54"/>
      <c r="O28" s="54"/>
      <c r="P28" s="54"/>
      <c r="Q28" s="180">
        <f t="shared" si="2"/>
        <v>10983.0050384356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49">
        <f>D25+D27</f>
        <v>14.122199999999999</v>
      </c>
      <c r="E29" s="33">
        <f t="shared" ref="E29:E30" si="10">+E25+E27</f>
        <v>9.0350000000000001</v>
      </c>
      <c r="F29" s="181">
        <f t="shared" si="0"/>
        <v>23.1572</v>
      </c>
      <c r="G29" s="49">
        <f t="shared" ref="G29:H30" si="11">+G25+G27</f>
        <v>139.44220000000001</v>
      </c>
      <c r="H29" s="49">
        <f t="shared" si="11"/>
        <v>4.2000000000000003E-2</v>
      </c>
      <c r="I29" s="50"/>
      <c r="J29" s="181">
        <f t="shared" si="1"/>
        <v>4.2000000000000003E-2</v>
      </c>
      <c r="K29" s="49"/>
      <c r="L29" s="33">
        <f t="shared" ref="L29:L30" si="12">+L25+L27</f>
        <v>4.7849999999999997E-2</v>
      </c>
      <c r="M29" s="55"/>
      <c r="N29" s="33"/>
      <c r="O29" s="33"/>
      <c r="P29" s="33"/>
      <c r="Q29" s="175">
        <f t="shared" si="2"/>
        <v>162.68925000000002</v>
      </c>
      <c r="R29" s="47"/>
    </row>
    <row r="30" spans="1:18">
      <c r="A30" s="183"/>
      <c r="B30" s="309"/>
      <c r="C30" s="177" t="s">
        <v>13</v>
      </c>
      <c r="D30" s="68">
        <f>D26+D28</f>
        <v>5359.4460597165771</v>
      </c>
      <c r="E30" s="54">
        <f t="shared" si="10"/>
        <v>5456.45</v>
      </c>
      <c r="F30" s="178">
        <f t="shared" si="0"/>
        <v>10815.896059716577</v>
      </c>
      <c r="G30" s="68">
        <f t="shared" si="11"/>
        <v>134093.33499999999</v>
      </c>
      <c r="H30" s="68">
        <f t="shared" si="11"/>
        <v>1.361</v>
      </c>
      <c r="I30" s="63"/>
      <c r="J30" s="178">
        <f t="shared" si="1"/>
        <v>1.361</v>
      </c>
      <c r="K30" s="68"/>
      <c r="L30" s="54">
        <f t="shared" si="12"/>
        <v>88.263999999999996</v>
      </c>
      <c r="M30" s="68"/>
      <c r="N30" s="54"/>
      <c r="O30" s="54"/>
      <c r="P30" s="54"/>
      <c r="Q30" s="180">
        <f t="shared" si="2"/>
        <v>144998.85605971658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85">
        <v>0.4874</v>
      </c>
      <c r="E31" s="253">
        <v>0.58989999999999998</v>
      </c>
      <c r="F31" s="181">
        <f t="shared" si="0"/>
        <v>1.0772999999999999</v>
      </c>
      <c r="G31" s="249">
        <v>10.976100000000001</v>
      </c>
      <c r="H31" s="249">
        <v>795.10019999999997</v>
      </c>
      <c r="I31" s="174"/>
      <c r="J31" s="181">
        <f t="shared" si="1"/>
        <v>795.10019999999997</v>
      </c>
      <c r="K31" s="249">
        <v>46.043399999999998</v>
      </c>
      <c r="L31" s="33">
        <v>2.6514000000000002</v>
      </c>
      <c r="M31" s="33"/>
      <c r="N31" s="33">
        <v>0.1113</v>
      </c>
      <c r="O31" s="33"/>
      <c r="P31" s="33">
        <v>0.184</v>
      </c>
      <c r="Q31" s="175">
        <f t="shared" si="2"/>
        <v>856.14369999999997</v>
      </c>
      <c r="R31" s="47"/>
    </row>
    <row r="32" spans="1:18">
      <c r="A32" s="176" t="s">
        <v>36</v>
      </c>
      <c r="B32" s="307"/>
      <c r="C32" s="177" t="s">
        <v>13</v>
      </c>
      <c r="D32" s="86">
        <v>50.393880561503934</v>
      </c>
      <c r="E32" s="251">
        <v>49.395000000000003</v>
      </c>
      <c r="F32" s="178">
        <f t="shared" si="0"/>
        <v>99.78888056150393</v>
      </c>
      <c r="G32" s="252">
        <v>1147.999</v>
      </c>
      <c r="H32" s="252">
        <v>131489.63399999999</v>
      </c>
      <c r="I32" s="179"/>
      <c r="J32" s="178">
        <f t="shared" si="1"/>
        <v>131489.63399999999</v>
      </c>
      <c r="K32" s="252">
        <v>5813.8059999999996</v>
      </c>
      <c r="L32" s="54">
        <v>333.74799999999999</v>
      </c>
      <c r="M32" s="54"/>
      <c r="N32" s="54">
        <v>3.0779999999999998</v>
      </c>
      <c r="O32" s="54"/>
      <c r="P32" s="54">
        <f>17.85*1.08</f>
        <v>19.278000000000002</v>
      </c>
      <c r="Q32" s="180">
        <f t="shared" si="2"/>
        <v>138907.33188056151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82">
        <v>0.1709</v>
      </c>
      <c r="E33" s="253"/>
      <c r="F33" s="181">
        <f t="shared" si="0"/>
        <v>0.1709</v>
      </c>
      <c r="G33" s="249">
        <v>0.1178</v>
      </c>
      <c r="H33" s="249">
        <v>1174.646</v>
      </c>
      <c r="I33" s="174"/>
      <c r="J33" s="181">
        <f t="shared" si="1"/>
        <v>1174.646</v>
      </c>
      <c r="K33" s="249">
        <v>366.15750000000003</v>
      </c>
      <c r="L33" s="33">
        <v>8.0000000000000002E-3</v>
      </c>
      <c r="M33" s="33"/>
      <c r="N33" s="33"/>
      <c r="O33" s="33"/>
      <c r="P33" s="33"/>
      <c r="Q33" s="175">
        <f t="shared" si="2"/>
        <v>1541.1002000000001</v>
      </c>
      <c r="R33" s="47"/>
    </row>
    <row r="34" spans="1:18">
      <c r="A34" s="176" t="s">
        <v>38</v>
      </c>
      <c r="B34" s="307"/>
      <c r="C34" s="177" t="s">
        <v>13</v>
      </c>
      <c r="D34" s="81">
        <v>10.590480118002349</v>
      </c>
      <c r="E34" s="251"/>
      <c r="F34" s="178">
        <f t="shared" si="0"/>
        <v>10.590480118002349</v>
      </c>
      <c r="G34" s="252">
        <v>3.8109999999999999</v>
      </c>
      <c r="H34" s="252">
        <v>82669.005999999994</v>
      </c>
      <c r="I34" s="179"/>
      <c r="J34" s="178">
        <f t="shared" si="1"/>
        <v>82669.005999999994</v>
      </c>
      <c r="K34" s="252">
        <v>25708.92</v>
      </c>
      <c r="L34" s="54">
        <v>1.8360000000000001</v>
      </c>
      <c r="M34" s="54"/>
      <c r="N34" s="54"/>
      <c r="O34" s="54"/>
      <c r="P34" s="54"/>
      <c r="Q34" s="180">
        <f t="shared" si="2"/>
        <v>108394.16348011799</v>
      </c>
      <c r="R34" s="47"/>
    </row>
    <row r="35" spans="1:18">
      <c r="A35" s="176"/>
      <c r="B35" s="46" t="s">
        <v>15</v>
      </c>
      <c r="C35" s="48" t="s">
        <v>11</v>
      </c>
      <c r="D35" s="82"/>
      <c r="E35" s="253"/>
      <c r="F35" s="181">
        <f t="shared" si="0"/>
        <v>0</v>
      </c>
      <c r="G35" s="249"/>
      <c r="H35" s="249">
        <v>694.73800000000006</v>
      </c>
      <c r="I35" s="174"/>
      <c r="J35" s="181">
        <f t="shared" si="1"/>
        <v>694.73800000000006</v>
      </c>
      <c r="K35" s="249">
        <v>36.22</v>
      </c>
      <c r="L35" s="33"/>
      <c r="M35" s="33"/>
      <c r="N35" s="33">
        <v>0.1862</v>
      </c>
      <c r="O35" s="33"/>
      <c r="P35" s="33"/>
      <c r="Q35" s="175">
        <f t="shared" si="2"/>
        <v>731.14420000000007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81"/>
      <c r="E36" s="251"/>
      <c r="F36" s="178">
        <f t="shared" si="0"/>
        <v>0</v>
      </c>
      <c r="G36" s="252"/>
      <c r="H36" s="252">
        <v>40844.699000000001</v>
      </c>
      <c r="I36" s="179"/>
      <c r="J36" s="178">
        <f t="shared" si="1"/>
        <v>40844.699000000001</v>
      </c>
      <c r="K36" s="252">
        <v>2470.11</v>
      </c>
      <c r="L36" s="54"/>
      <c r="M36" s="54"/>
      <c r="N36" s="54">
        <v>24.210999999999999</v>
      </c>
      <c r="O36" s="54"/>
      <c r="P36" s="54"/>
      <c r="Q36" s="180">
        <f t="shared" si="2"/>
        <v>43339.020000000004</v>
      </c>
      <c r="R36" s="47"/>
    </row>
    <row r="37" spans="1:18">
      <c r="A37" s="27"/>
      <c r="B37" s="308" t="s">
        <v>19</v>
      </c>
      <c r="C37" s="48" t="s">
        <v>11</v>
      </c>
      <c r="D37" s="49">
        <f t="shared" ref="D37:D38" si="13">D31+D33+D35</f>
        <v>0.6583</v>
      </c>
      <c r="E37" s="33">
        <f t="shared" ref="E37:E38" si="14">+E31+E33+E35</f>
        <v>0.58989999999999998</v>
      </c>
      <c r="F37" s="181">
        <f t="shared" si="0"/>
        <v>1.2482</v>
      </c>
      <c r="G37" s="49">
        <f t="shared" ref="G37:H38" si="15">+G31+G33+G35</f>
        <v>11.093900000000001</v>
      </c>
      <c r="H37" s="49">
        <f t="shared" si="15"/>
        <v>2664.4841999999999</v>
      </c>
      <c r="I37" s="50"/>
      <c r="J37" s="181">
        <f t="shared" si="1"/>
        <v>2664.4841999999999</v>
      </c>
      <c r="K37" s="49">
        <f t="shared" ref="K37:L38" si="16">+K31+K33+K35</f>
        <v>448.42090000000007</v>
      </c>
      <c r="L37" s="33">
        <f t="shared" si="16"/>
        <v>2.6594000000000002</v>
      </c>
      <c r="M37" s="33"/>
      <c r="N37" s="33">
        <f t="shared" ref="N37:N38" si="17">+N31+N33+N35</f>
        <v>0.29749999999999999</v>
      </c>
      <c r="O37" s="33"/>
      <c r="P37" s="33">
        <f>P31+P33+P35</f>
        <v>0.184</v>
      </c>
      <c r="Q37" s="175">
        <f t="shared" si="2"/>
        <v>3128.3881000000001</v>
      </c>
      <c r="R37" s="47"/>
    </row>
    <row r="38" spans="1:18">
      <c r="A38" s="183"/>
      <c r="B38" s="309"/>
      <c r="C38" s="177" t="s">
        <v>13</v>
      </c>
      <c r="D38" s="68">
        <f t="shared" si="13"/>
        <v>60.984360679506281</v>
      </c>
      <c r="E38" s="54">
        <f t="shared" si="14"/>
        <v>49.395000000000003</v>
      </c>
      <c r="F38" s="178">
        <f t="shared" si="0"/>
        <v>110.37936067950628</v>
      </c>
      <c r="G38" s="68">
        <f t="shared" si="15"/>
        <v>1151.81</v>
      </c>
      <c r="H38" s="68">
        <f t="shared" si="15"/>
        <v>255003.33899999998</v>
      </c>
      <c r="I38" s="63"/>
      <c r="J38" s="178">
        <f t="shared" si="1"/>
        <v>255003.33899999998</v>
      </c>
      <c r="K38" s="68">
        <f t="shared" si="16"/>
        <v>33992.835999999996</v>
      </c>
      <c r="L38" s="54">
        <f t="shared" si="16"/>
        <v>335.584</v>
      </c>
      <c r="M38" s="54"/>
      <c r="N38" s="54">
        <f t="shared" si="17"/>
        <v>27.288999999999998</v>
      </c>
      <c r="O38" s="54"/>
      <c r="P38" s="54">
        <f>P32+P34+P36</f>
        <v>19.278000000000002</v>
      </c>
      <c r="Q38" s="180">
        <f t="shared" si="2"/>
        <v>290640.51536067942</v>
      </c>
      <c r="R38" s="47"/>
    </row>
    <row r="39" spans="1:18">
      <c r="A39" s="310" t="s">
        <v>40</v>
      </c>
      <c r="B39" s="311"/>
      <c r="C39" s="48" t="s">
        <v>11</v>
      </c>
      <c r="D39" s="85">
        <v>8.09E-2</v>
      </c>
      <c r="E39" s="253">
        <v>0.20599999999999999</v>
      </c>
      <c r="F39" s="181">
        <f t="shared" si="0"/>
        <v>0.28689999999999999</v>
      </c>
      <c r="G39" s="249"/>
      <c r="H39" s="249">
        <v>1.2094</v>
      </c>
      <c r="I39" s="174"/>
      <c r="J39" s="181">
        <f t="shared" si="1"/>
        <v>1.2094</v>
      </c>
      <c r="K39" s="249"/>
      <c r="L39" s="33"/>
      <c r="M39" s="33"/>
      <c r="N39" s="33">
        <v>6.8999999999999999E-3</v>
      </c>
      <c r="O39" s="33"/>
      <c r="P39" s="33"/>
      <c r="Q39" s="175">
        <f t="shared" si="2"/>
        <v>1.5031999999999999</v>
      </c>
      <c r="R39" s="47"/>
    </row>
    <row r="40" spans="1:18">
      <c r="A40" s="312"/>
      <c r="B40" s="313"/>
      <c r="C40" s="177" t="s">
        <v>13</v>
      </c>
      <c r="D40" s="86">
        <v>144.16380160631692</v>
      </c>
      <c r="E40" s="251">
        <v>136.09</v>
      </c>
      <c r="F40" s="178">
        <f t="shared" si="0"/>
        <v>280.25380160631693</v>
      </c>
      <c r="G40" s="252"/>
      <c r="H40" s="252">
        <v>626.75599999999997</v>
      </c>
      <c r="I40" s="179"/>
      <c r="J40" s="178">
        <f t="shared" si="1"/>
        <v>626.75599999999997</v>
      </c>
      <c r="K40" s="252"/>
      <c r="L40" s="54"/>
      <c r="M40" s="54"/>
      <c r="N40" s="54">
        <v>1.036</v>
      </c>
      <c r="O40" s="54"/>
      <c r="P40" s="54"/>
      <c r="Q40" s="180">
        <f t="shared" si="2"/>
        <v>908.04580160631679</v>
      </c>
      <c r="R40" s="47"/>
    </row>
    <row r="41" spans="1:18">
      <c r="A41" s="310" t="s">
        <v>41</v>
      </c>
      <c r="B41" s="311"/>
      <c r="C41" s="48" t="s">
        <v>11</v>
      </c>
      <c r="D41" s="85">
        <v>0.91969999999999996</v>
      </c>
      <c r="E41" s="253">
        <v>0.69320000000000004</v>
      </c>
      <c r="F41" s="181">
        <f t="shared" si="0"/>
        <v>1.6129</v>
      </c>
      <c r="G41" s="249">
        <v>0.5181</v>
      </c>
      <c r="H41" s="249">
        <v>55.465200000000003</v>
      </c>
      <c r="I41" s="174"/>
      <c r="J41" s="181">
        <f t="shared" si="1"/>
        <v>55.465200000000003</v>
      </c>
      <c r="K41" s="249">
        <v>2.9033000000000002</v>
      </c>
      <c r="L41" s="33">
        <v>6.0699999999999997E-2</v>
      </c>
      <c r="M41" s="33"/>
      <c r="N41" s="33">
        <v>4.0780000000000003</v>
      </c>
      <c r="O41" s="33">
        <v>5.1000000000000004E-3</v>
      </c>
      <c r="P41" s="33">
        <v>8.3000000000000004E-2</v>
      </c>
      <c r="Q41" s="175">
        <f t="shared" si="2"/>
        <v>64.726299999999995</v>
      </c>
      <c r="R41" s="47"/>
    </row>
    <row r="42" spans="1:18">
      <c r="A42" s="312"/>
      <c r="B42" s="313"/>
      <c r="C42" s="177" t="s">
        <v>13</v>
      </c>
      <c r="D42" s="86">
        <v>615.89160686245145</v>
      </c>
      <c r="E42" s="251">
        <v>37.979999999999997</v>
      </c>
      <c r="F42" s="178">
        <f t="shared" si="0"/>
        <v>653.87160686245147</v>
      </c>
      <c r="G42" s="252">
        <v>148.99700000000001</v>
      </c>
      <c r="H42" s="252">
        <v>12812.812</v>
      </c>
      <c r="I42" s="179"/>
      <c r="J42" s="178">
        <f t="shared" si="1"/>
        <v>12812.812</v>
      </c>
      <c r="K42" s="252">
        <v>628.12300000000005</v>
      </c>
      <c r="L42" s="54">
        <v>7.758</v>
      </c>
      <c r="M42" s="54"/>
      <c r="N42" s="54">
        <v>887.03</v>
      </c>
      <c r="O42" s="54">
        <v>2.516</v>
      </c>
      <c r="P42" s="54">
        <f>4.15*1.08</f>
        <v>4.4820000000000011</v>
      </c>
      <c r="Q42" s="180">
        <f t="shared" si="2"/>
        <v>15145.589606862452</v>
      </c>
      <c r="R42" s="47"/>
    </row>
    <row r="43" spans="1:18">
      <c r="A43" s="310" t="s">
        <v>42</v>
      </c>
      <c r="B43" s="311"/>
      <c r="C43" s="48" t="s">
        <v>11</v>
      </c>
      <c r="D43" s="82"/>
      <c r="E43" s="253"/>
      <c r="F43" s="181">
        <f t="shared" si="0"/>
        <v>0</v>
      </c>
      <c r="G43" s="249"/>
      <c r="H43" s="249">
        <v>4.4000000000000003E-3</v>
      </c>
      <c r="I43" s="174"/>
      <c r="J43" s="181">
        <f t="shared" si="1"/>
        <v>4.4000000000000003E-3</v>
      </c>
      <c r="K43" s="249"/>
      <c r="L43" s="33">
        <v>5.0000000000000001E-3</v>
      </c>
      <c r="M43" s="33"/>
      <c r="N43" s="33"/>
      <c r="O43" s="33"/>
      <c r="P43" s="33"/>
      <c r="Q43" s="175">
        <f t="shared" si="2"/>
        <v>9.4000000000000004E-3</v>
      </c>
      <c r="R43" s="47"/>
    </row>
    <row r="44" spans="1:18">
      <c r="A44" s="312"/>
      <c r="B44" s="313"/>
      <c r="C44" s="177" t="s">
        <v>13</v>
      </c>
      <c r="D44" s="81"/>
      <c r="E44" s="251"/>
      <c r="F44" s="178">
        <f t="shared" si="0"/>
        <v>0</v>
      </c>
      <c r="G44" s="252"/>
      <c r="H44" s="252">
        <v>9.5039999999999996</v>
      </c>
      <c r="I44" s="179"/>
      <c r="J44" s="178">
        <f t="shared" si="1"/>
        <v>9.5039999999999996</v>
      </c>
      <c r="K44" s="252"/>
      <c r="L44" s="54">
        <v>0.97199999999999998</v>
      </c>
      <c r="M44" s="54"/>
      <c r="N44" s="54"/>
      <c r="O44" s="54"/>
      <c r="P44" s="54"/>
      <c r="Q44" s="180">
        <f t="shared" si="2"/>
        <v>10.475999999999999</v>
      </c>
      <c r="R44" s="47"/>
    </row>
    <row r="45" spans="1:18">
      <c r="A45" s="310" t="s">
        <v>43</v>
      </c>
      <c r="B45" s="311"/>
      <c r="C45" s="48" t="s">
        <v>11</v>
      </c>
      <c r="D45" s="85"/>
      <c r="E45" s="253">
        <v>3.0000000000000001E-3</v>
      </c>
      <c r="F45" s="181">
        <f t="shared" si="0"/>
        <v>3.0000000000000001E-3</v>
      </c>
      <c r="G45" s="249">
        <v>1.06E-2</v>
      </c>
      <c r="H45" s="249">
        <v>1.0999999999999999E-2</v>
      </c>
      <c r="I45" s="174"/>
      <c r="J45" s="181">
        <f t="shared" si="1"/>
        <v>1.0999999999999999E-2</v>
      </c>
      <c r="K45" s="249">
        <v>1E-3</v>
      </c>
      <c r="L45" s="33">
        <v>5.9999999999999995E-4</v>
      </c>
      <c r="M45" s="33"/>
      <c r="N45" s="33"/>
      <c r="O45" s="33"/>
      <c r="P45" s="33"/>
      <c r="Q45" s="175">
        <f t="shared" si="2"/>
        <v>2.6200000000000001E-2</v>
      </c>
      <c r="R45" s="47"/>
    </row>
    <row r="46" spans="1:18">
      <c r="A46" s="312"/>
      <c r="B46" s="313"/>
      <c r="C46" s="177" t="s">
        <v>13</v>
      </c>
      <c r="D46" s="86"/>
      <c r="E46" s="251">
        <v>0.64800000000000002</v>
      </c>
      <c r="F46" s="178">
        <f t="shared" si="0"/>
        <v>0.64800000000000002</v>
      </c>
      <c r="G46" s="252">
        <v>14.343</v>
      </c>
      <c r="H46" s="252">
        <v>10.366</v>
      </c>
      <c r="I46" s="179"/>
      <c r="J46" s="178">
        <f t="shared" si="1"/>
        <v>10.366</v>
      </c>
      <c r="K46" s="252">
        <v>0.54</v>
      </c>
      <c r="L46" s="54">
        <v>0.32400000000000001</v>
      </c>
      <c r="M46" s="54"/>
      <c r="N46" s="54"/>
      <c r="O46" s="54"/>
      <c r="P46" s="54"/>
      <c r="Q46" s="180">
        <f t="shared" si="2"/>
        <v>26.221</v>
      </c>
      <c r="R46" s="47"/>
    </row>
    <row r="47" spans="1:18">
      <c r="A47" s="310" t="s">
        <v>44</v>
      </c>
      <c r="B47" s="311"/>
      <c r="C47" s="48" t="s">
        <v>11</v>
      </c>
      <c r="D47" s="85">
        <v>7.0000000000000001E-3</v>
      </c>
      <c r="E47" s="253"/>
      <c r="F47" s="181">
        <f t="shared" si="0"/>
        <v>7.0000000000000001E-3</v>
      </c>
      <c r="G47" s="249">
        <v>0.11310000000000001</v>
      </c>
      <c r="H47" s="249">
        <v>0.1114</v>
      </c>
      <c r="I47" s="174"/>
      <c r="J47" s="181">
        <f t="shared" si="1"/>
        <v>0.1114</v>
      </c>
      <c r="K47" s="249">
        <v>2.6499999999999999E-2</v>
      </c>
      <c r="L47" s="33">
        <v>6.0199999999999997E-2</v>
      </c>
      <c r="M47" s="33"/>
      <c r="N47" s="33"/>
      <c r="O47" s="33"/>
      <c r="P47" s="33"/>
      <c r="Q47" s="175">
        <f t="shared" si="2"/>
        <v>0.31819999999999998</v>
      </c>
      <c r="R47" s="47"/>
    </row>
    <row r="48" spans="1:18">
      <c r="A48" s="312"/>
      <c r="B48" s="313"/>
      <c r="C48" s="177" t="s">
        <v>13</v>
      </c>
      <c r="D48" s="86">
        <v>9.828000109506565</v>
      </c>
      <c r="E48" s="251"/>
      <c r="F48" s="178">
        <f t="shared" si="0"/>
        <v>9.828000109506565</v>
      </c>
      <c r="G48" s="252">
        <v>184.334</v>
      </c>
      <c r="H48" s="252">
        <v>90.353999999999999</v>
      </c>
      <c r="I48" s="179"/>
      <c r="J48" s="178">
        <f t="shared" si="1"/>
        <v>90.353999999999999</v>
      </c>
      <c r="K48" s="252">
        <v>32.936</v>
      </c>
      <c r="L48" s="54">
        <v>31.774000000000001</v>
      </c>
      <c r="M48" s="54"/>
      <c r="N48" s="54"/>
      <c r="O48" s="54"/>
      <c r="P48" s="54"/>
      <c r="Q48" s="180">
        <f t="shared" si="2"/>
        <v>349.22600010950657</v>
      </c>
      <c r="R48" s="47"/>
    </row>
    <row r="49" spans="1:18">
      <c r="A49" s="310" t="s">
        <v>45</v>
      </c>
      <c r="B49" s="311"/>
      <c r="C49" s="48" t="s">
        <v>11</v>
      </c>
      <c r="D49" s="85">
        <v>8.5000000000000006E-2</v>
      </c>
      <c r="E49" s="253">
        <v>4.0789999999999997</v>
      </c>
      <c r="F49" s="181">
        <f t="shared" si="0"/>
        <v>4.1639999999999997</v>
      </c>
      <c r="G49" s="249">
        <v>278.43099999999998</v>
      </c>
      <c r="H49" s="249">
        <v>1776.4446</v>
      </c>
      <c r="I49" s="174"/>
      <c r="J49" s="181">
        <f t="shared" si="1"/>
        <v>1776.4446</v>
      </c>
      <c r="K49" s="249">
        <v>311.06950000000001</v>
      </c>
      <c r="L49" s="33"/>
      <c r="M49" s="33"/>
      <c r="N49" s="33">
        <v>0.16139999999999999</v>
      </c>
      <c r="O49" s="33"/>
      <c r="P49" s="33"/>
      <c r="Q49" s="175">
        <f t="shared" si="2"/>
        <v>2370.2705000000001</v>
      </c>
      <c r="R49" s="47"/>
    </row>
    <row r="50" spans="1:18">
      <c r="A50" s="312"/>
      <c r="B50" s="313"/>
      <c r="C50" s="177" t="s">
        <v>13</v>
      </c>
      <c r="D50" s="86">
        <v>10.044000111913304</v>
      </c>
      <c r="E50" s="251">
        <v>175.066</v>
      </c>
      <c r="F50" s="178">
        <f t="shared" si="0"/>
        <v>185.11000011191331</v>
      </c>
      <c r="G50" s="252">
        <v>23776.578000000001</v>
      </c>
      <c r="H50" s="252">
        <v>151621.035</v>
      </c>
      <c r="I50" s="179"/>
      <c r="J50" s="178">
        <f t="shared" si="1"/>
        <v>151621.035</v>
      </c>
      <c r="K50" s="252">
        <v>37932.078999999998</v>
      </c>
      <c r="L50" s="54"/>
      <c r="M50" s="54"/>
      <c r="N50" s="54">
        <v>10.632</v>
      </c>
      <c r="O50" s="54"/>
      <c r="P50" s="54"/>
      <c r="Q50" s="180">
        <f t="shared" si="2"/>
        <v>213525.43400011194</v>
      </c>
      <c r="R50" s="47"/>
    </row>
    <row r="51" spans="1:18">
      <c r="A51" s="310" t="s">
        <v>46</v>
      </c>
      <c r="B51" s="311"/>
      <c r="C51" s="48" t="s">
        <v>11</v>
      </c>
      <c r="D51" s="85"/>
      <c r="E51" s="253">
        <v>9.1999999999999998E-2</v>
      </c>
      <c r="F51" s="181">
        <f t="shared" si="0"/>
        <v>9.1999999999999998E-2</v>
      </c>
      <c r="G51" s="249">
        <v>0</v>
      </c>
      <c r="H51" s="249"/>
      <c r="I51" s="174"/>
      <c r="J51" s="181">
        <f t="shared" si="1"/>
        <v>0</v>
      </c>
      <c r="K51" s="249"/>
      <c r="L51" s="33"/>
      <c r="M51" s="33"/>
      <c r="N51" s="33"/>
      <c r="O51" s="33"/>
      <c r="P51" s="33"/>
      <c r="Q51" s="175">
        <f t="shared" si="2"/>
        <v>9.1999999999999998E-2</v>
      </c>
      <c r="R51" s="47"/>
    </row>
    <row r="52" spans="1:18">
      <c r="A52" s="312"/>
      <c r="B52" s="313"/>
      <c r="C52" s="177" t="s">
        <v>13</v>
      </c>
      <c r="D52" s="86"/>
      <c r="E52" s="251">
        <v>72.900000000000006</v>
      </c>
      <c r="F52" s="178">
        <f t="shared" si="0"/>
        <v>72.900000000000006</v>
      </c>
      <c r="G52" s="252">
        <v>3.9740000000000002</v>
      </c>
      <c r="H52" s="252"/>
      <c r="I52" s="179"/>
      <c r="J52" s="178">
        <f t="shared" si="1"/>
        <v>0</v>
      </c>
      <c r="K52" s="252"/>
      <c r="L52" s="54"/>
      <c r="M52" s="54"/>
      <c r="N52" s="54"/>
      <c r="O52" s="54"/>
      <c r="P52" s="54"/>
      <c r="Q52" s="180">
        <f t="shared" si="2"/>
        <v>76.874000000000009</v>
      </c>
      <c r="R52" s="47"/>
    </row>
    <row r="53" spans="1:18">
      <c r="A53" s="310" t="s">
        <v>47</v>
      </c>
      <c r="B53" s="311"/>
      <c r="C53" s="48" t="s">
        <v>11</v>
      </c>
      <c r="D53" s="82">
        <v>0.14480000000000001</v>
      </c>
      <c r="E53" s="253">
        <v>4.3299999999999998E-2</v>
      </c>
      <c r="F53" s="181">
        <f t="shared" si="0"/>
        <v>0.18810000000000002</v>
      </c>
      <c r="G53" s="249">
        <v>7.2961</v>
      </c>
      <c r="H53" s="249">
        <v>10.785600000000001</v>
      </c>
      <c r="I53" s="174"/>
      <c r="J53" s="181">
        <f t="shared" si="1"/>
        <v>10.785600000000001</v>
      </c>
      <c r="K53" s="249">
        <v>614.47109999999998</v>
      </c>
      <c r="L53" s="33">
        <v>122.2496</v>
      </c>
      <c r="M53" s="33"/>
      <c r="N53" s="33">
        <v>0.15529999999999999</v>
      </c>
      <c r="O53" s="33">
        <v>7.1999999999999998E-3</v>
      </c>
      <c r="P53" s="33">
        <v>1.0800000000000001E-2</v>
      </c>
      <c r="Q53" s="175">
        <f t="shared" si="2"/>
        <v>755.16380000000004</v>
      </c>
      <c r="R53" s="47"/>
    </row>
    <row r="54" spans="1:18">
      <c r="A54" s="312"/>
      <c r="B54" s="313"/>
      <c r="C54" s="177" t="s">
        <v>13</v>
      </c>
      <c r="D54" s="81">
        <v>169.90560189313985</v>
      </c>
      <c r="E54" s="251">
        <v>55.048000000000002</v>
      </c>
      <c r="F54" s="178">
        <f t="shared" si="0"/>
        <v>224.95360189313985</v>
      </c>
      <c r="G54" s="252">
        <v>7667.7659999999996</v>
      </c>
      <c r="H54" s="252">
        <v>7679.8119999999999</v>
      </c>
      <c r="I54" s="179"/>
      <c r="J54" s="178">
        <f t="shared" si="1"/>
        <v>7679.8119999999999</v>
      </c>
      <c r="K54" s="252">
        <v>422040.74800000002</v>
      </c>
      <c r="L54" s="54">
        <v>82687.906000000003</v>
      </c>
      <c r="M54" s="54"/>
      <c r="N54" s="54">
        <v>62.036000000000001</v>
      </c>
      <c r="O54" s="54">
        <v>4.3579999999999997</v>
      </c>
      <c r="P54" s="54">
        <f>8.04*1.08</f>
        <v>8.6831999999999994</v>
      </c>
      <c r="Q54" s="180">
        <f t="shared" si="2"/>
        <v>520376.26280189323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85">
        <v>0.6835</v>
      </c>
      <c r="E55" s="253"/>
      <c r="F55" s="181">
        <f t="shared" si="0"/>
        <v>0.6835</v>
      </c>
      <c r="G55" s="249">
        <v>0.1004</v>
      </c>
      <c r="H55" s="249">
        <v>6.6017999999999999</v>
      </c>
      <c r="I55" s="174"/>
      <c r="J55" s="181">
        <f t="shared" si="1"/>
        <v>6.6017999999999999</v>
      </c>
      <c r="K55" s="249">
        <v>0.13789999999999999</v>
      </c>
      <c r="L55" s="33">
        <v>4.3099999999999999E-2</v>
      </c>
      <c r="M55" s="33"/>
      <c r="N55" s="33">
        <v>0.1578</v>
      </c>
      <c r="O55" s="33">
        <v>3.8E-3</v>
      </c>
      <c r="P55" s="33">
        <v>1.46E-2</v>
      </c>
      <c r="Q55" s="175">
        <f t="shared" si="2"/>
        <v>7.7428999999999997</v>
      </c>
      <c r="R55" s="47"/>
    </row>
    <row r="56" spans="1:18">
      <c r="A56" s="176" t="s">
        <v>36</v>
      </c>
      <c r="B56" s="307"/>
      <c r="C56" s="177" t="s">
        <v>13</v>
      </c>
      <c r="D56" s="86">
        <v>662.64480738338978</v>
      </c>
      <c r="E56" s="251"/>
      <c r="F56" s="178">
        <f t="shared" si="0"/>
        <v>662.64480738338978</v>
      </c>
      <c r="G56" s="252">
        <v>184.53800000000001</v>
      </c>
      <c r="H56" s="252">
        <v>7083.9120000000003</v>
      </c>
      <c r="I56" s="179"/>
      <c r="J56" s="178">
        <f t="shared" si="1"/>
        <v>7083.9120000000003</v>
      </c>
      <c r="K56" s="252">
        <v>169.744</v>
      </c>
      <c r="L56" s="54">
        <v>56.213000000000001</v>
      </c>
      <c r="M56" s="54"/>
      <c r="N56" s="54">
        <v>159.58199999999999</v>
      </c>
      <c r="O56" s="54">
        <v>4.4930000000000003</v>
      </c>
      <c r="P56" s="54">
        <f>18.99*1.08</f>
        <v>20.5092</v>
      </c>
      <c r="Q56" s="180">
        <f t="shared" si="2"/>
        <v>8341.6360073833894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87">
        <v>1.1719999999999999</v>
      </c>
      <c r="E57" s="253">
        <v>7.8899999999999998E-2</v>
      </c>
      <c r="F57" s="181">
        <f t="shared" si="0"/>
        <v>1.2508999999999999</v>
      </c>
      <c r="G57" s="249"/>
      <c r="H57" s="249">
        <v>9.8799999999999999E-2</v>
      </c>
      <c r="I57" s="174"/>
      <c r="J57" s="181">
        <f t="shared" si="1"/>
        <v>9.8799999999999999E-2</v>
      </c>
      <c r="K57" s="249">
        <v>9.1000000000000004E-3</v>
      </c>
      <c r="L57" s="33">
        <v>2E-3</v>
      </c>
      <c r="M57" s="33"/>
      <c r="N57" s="33">
        <v>1.29E-2</v>
      </c>
      <c r="O57" s="33">
        <v>6.9999999999999999E-4</v>
      </c>
      <c r="P57" s="33">
        <v>3.5999999999999999E-3</v>
      </c>
      <c r="Q57" s="175">
        <f t="shared" si="2"/>
        <v>1.3779999999999999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119">
        <v>71.004600791154857</v>
      </c>
      <c r="E58" s="251">
        <v>55.155999999999999</v>
      </c>
      <c r="F58" s="178">
        <f t="shared" si="0"/>
        <v>126.16060079115485</v>
      </c>
      <c r="G58" s="252"/>
      <c r="H58" s="252">
        <v>199.95400000000001</v>
      </c>
      <c r="I58" s="179"/>
      <c r="J58" s="178">
        <f t="shared" si="1"/>
        <v>199.95400000000001</v>
      </c>
      <c r="K58" s="252">
        <v>10.231999999999999</v>
      </c>
      <c r="L58" s="54">
        <v>2.5920000000000001</v>
      </c>
      <c r="M58" s="54"/>
      <c r="N58" s="54">
        <v>11.88</v>
      </c>
      <c r="O58" s="54">
        <v>0.98299999999999998</v>
      </c>
      <c r="P58" s="54">
        <f>7.39*1.08</f>
        <v>7.9812000000000003</v>
      </c>
      <c r="Q58" s="180">
        <f t="shared" si="2"/>
        <v>359.78280079115484</v>
      </c>
      <c r="R58" s="47"/>
    </row>
    <row r="59" spans="1:18">
      <c r="A59" s="27"/>
      <c r="B59" s="308" t="s">
        <v>19</v>
      </c>
      <c r="C59" s="48" t="s">
        <v>11</v>
      </c>
      <c r="D59" s="49">
        <f t="shared" ref="D59:D60" si="18">D55+D57</f>
        <v>1.8554999999999999</v>
      </c>
      <c r="E59" s="33">
        <f t="shared" ref="E59:E60" si="19">+E55+E57</f>
        <v>7.8899999999999998E-2</v>
      </c>
      <c r="F59" s="181">
        <f t="shared" si="0"/>
        <v>1.9343999999999999</v>
      </c>
      <c r="G59" s="49">
        <f t="shared" ref="G59:H60" si="20">+G55+G57</f>
        <v>0.1004</v>
      </c>
      <c r="H59" s="49">
        <f t="shared" si="20"/>
        <v>6.7005999999999997</v>
      </c>
      <c r="I59" s="50"/>
      <c r="J59" s="181">
        <f t="shared" si="1"/>
        <v>6.7005999999999997</v>
      </c>
      <c r="K59" s="49">
        <f t="shared" ref="K59:L60" si="21">+K55+K57</f>
        <v>0.14699999999999999</v>
      </c>
      <c r="L59" s="33">
        <f t="shared" si="21"/>
        <v>4.5100000000000001E-2</v>
      </c>
      <c r="M59" s="33"/>
      <c r="N59" s="33">
        <f>N55+N57</f>
        <v>0.17069999999999999</v>
      </c>
      <c r="O59" s="33">
        <f t="shared" ref="O59:O60" si="22">+O55+O57</f>
        <v>4.4999999999999997E-3</v>
      </c>
      <c r="P59" s="33">
        <f t="shared" ref="P59:P60" si="23">P55+P57</f>
        <v>1.8200000000000001E-2</v>
      </c>
      <c r="Q59" s="175">
        <f t="shared" si="2"/>
        <v>9.1208999999999989</v>
      </c>
      <c r="R59" s="47"/>
    </row>
    <row r="60" spans="1:18">
      <c r="A60" s="183"/>
      <c r="B60" s="309"/>
      <c r="C60" s="177" t="s">
        <v>13</v>
      </c>
      <c r="D60" s="68">
        <f t="shared" si="18"/>
        <v>733.64940817454465</v>
      </c>
      <c r="E60" s="54">
        <f t="shared" si="19"/>
        <v>55.155999999999999</v>
      </c>
      <c r="F60" s="178">
        <f t="shared" si="0"/>
        <v>788.8054081745446</v>
      </c>
      <c r="G60" s="68">
        <f t="shared" si="20"/>
        <v>184.53800000000001</v>
      </c>
      <c r="H60" s="68">
        <f t="shared" si="20"/>
        <v>7283.866</v>
      </c>
      <c r="I60" s="63"/>
      <c r="J60" s="178">
        <f t="shared" si="1"/>
        <v>7283.866</v>
      </c>
      <c r="K60" s="68">
        <f t="shared" si="21"/>
        <v>179.976</v>
      </c>
      <c r="L60" s="54">
        <f t="shared" si="21"/>
        <v>58.805</v>
      </c>
      <c r="M60" s="54"/>
      <c r="N60" s="54">
        <f t="shared" ref="N60" si="24">N56+N58</f>
        <v>171.46199999999999</v>
      </c>
      <c r="O60" s="54">
        <f t="shared" si="22"/>
        <v>5.476</v>
      </c>
      <c r="P60" s="54">
        <f t="shared" si="23"/>
        <v>28.490400000000001</v>
      </c>
      <c r="Q60" s="180">
        <f t="shared" si="2"/>
        <v>8701.4188081745469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85">
        <v>0.4546</v>
      </c>
      <c r="E61" s="253"/>
      <c r="F61" s="181">
        <f t="shared" si="0"/>
        <v>0.4546</v>
      </c>
      <c r="G61" s="249">
        <v>1.15E-2</v>
      </c>
      <c r="H61" s="249">
        <v>1.8473999999999999</v>
      </c>
      <c r="I61" s="174"/>
      <c r="J61" s="181">
        <f t="shared" si="1"/>
        <v>1.8473999999999999</v>
      </c>
      <c r="K61" s="249"/>
      <c r="L61" s="33">
        <v>1.6E-2</v>
      </c>
      <c r="M61" s="33"/>
      <c r="N61" s="33"/>
      <c r="O61" s="33"/>
      <c r="P61" s="33"/>
      <c r="Q61" s="175">
        <f t="shared" si="2"/>
        <v>2.3294999999999999</v>
      </c>
      <c r="R61" s="47"/>
    </row>
    <row r="62" spans="1:18">
      <c r="A62" s="176" t="s">
        <v>51</v>
      </c>
      <c r="B62" s="307"/>
      <c r="C62" s="177" t="s">
        <v>13</v>
      </c>
      <c r="D62" s="86">
        <v>31.154760347135813</v>
      </c>
      <c r="E62" s="251"/>
      <c r="F62" s="178">
        <f t="shared" si="0"/>
        <v>31.154760347135813</v>
      </c>
      <c r="G62" s="252">
        <v>0.68400000000000005</v>
      </c>
      <c r="H62" s="252">
        <v>52.570999999999998</v>
      </c>
      <c r="I62" s="179"/>
      <c r="J62" s="178">
        <f t="shared" si="1"/>
        <v>52.570999999999998</v>
      </c>
      <c r="K62" s="252"/>
      <c r="L62" s="54">
        <v>1.393</v>
      </c>
      <c r="M62" s="54"/>
      <c r="N62" s="54"/>
      <c r="O62" s="54"/>
      <c r="P62" s="54"/>
      <c r="Q62" s="180">
        <f t="shared" si="2"/>
        <v>85.802760347135816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82"/>
      <c r="E63" s="253">
        <v>9.0299999999999994</v>
      </c>
      <c r="F63" s="181">
        <f t="shared" si="0"/>
        <v>9.0299999999999994</v>
      </c>
      <c r="G63" s="249">
        <v>239.893</v>
      </c>
      <c r="H63" s="249"/>
      <c r="I63" s="174"/>
      <c r="J63" s="181">
        <f t="shared" si="1"/>
        <v>0</v>
      </c>
      <c r="K63" s="249"/>
      <c r="L63" s="33"/>
      <c r="M63" s="33"/>
      <c r="N63" s="33"/>
      <c r="O63" s="33"/>
      <c r="P63" s="33"/>
      <c r="Q63" s="175">
        <f t="shared" si="2"/>
        <v>248.923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81"/>
      <c r="E64" s="251">
        <v>780.19200000000001</v>
      </c>
      <c r="F64" s="178">
        <f t="shared" si="0"/>
        <v>780.19200000000001</v>
      </c>
      <c r="G64" s="252">
        <v>34580.756999999998</v>
      </c>
      <c r="H64" s="252"/>
      <c r="I64" s="179"/>
      <c r="J64" s="178">
        <f t="shared" si="1"/>
        <v>0</v>
      </c>
      <c r="K64" s="252"/>
      <c r="L64" s="54"/>
      <c r="M64" s="54"/>
      <c r="N64" s="54"/>
      <c r="O64" s="54"/>
      <c r="P64" s="54"/>
      <c r="Q64" s="180">
        <f t="shared" si="2"/>
        <v>35360.949000000001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82"/>
      <c r="E65" s="253">
        <v>7.5999999999999998E-2</v>
      </c>
      <c r="F65" s="181">
        <f t="shared" si="0"/>
        <v>7.5999999999999998E-2</v>
      </c>
      <c r="G65" s="249">
        <v>445.97</v>
      </c>
      <c r="H65" s="249"/>
      <c r="I65" s="174"/>
      <c r="J65" s="181">
        <f t="shared" si="1"/>
        <v>0</v>
      </c>
      <c r="K65" s="249"/>
      <c r="L65" s="33"/>
      <c r="M65" s="33"/>
      <c r="N65" s="33"/>
      <c r="O65" s="33"/>
      <c r="P65" s="33"/>
      <c r="Q65" s="175">
        <f t="shared" si="2"/>
        <v>446.04600000000005</v>
      </c>
      <c r="R65" s="47"/>
    </row>
    <row r="66" spans="1:18">
      <c r="A66" s="176" t="s">
        <v>18</v>
      </c>
      <c r="B66" s="307"/>
      <c r="C66" s="177" t="s">
        <v>13</v>
      </c>
      <c r="D66" s="81"/>
      <c r="E66" s="251">
        <v>8.2080000000000002</v>
      </c>
      <c r="F66" s="178">
        <f t="shared" si="0"/>
        <v>8.2080000000000002</v>
      </c>
      <c r="G66" s="252">
        <v>49955.324999999997</v>
      </c>
      <c r="H66" s="252"/>
      <c r="I66" s="179"/>
      <c r="J66" s="178">
        <f t="shared" si="1"/>
        <v>0</v>
      </c>
      <c r="K66" s="252"/>
      <c r="L66" s="54"/>
      <c r="M66" s="54"/>
      <c r="N66" s="54"/>
      <c r="O66" s="54"/>
      <c r="P66" s="54"/>
      <c r="Q66" s="180">
        <f t="shared" si="2"/>
        <v>49963.532999999996</v>
      </c>
      <c r="R66" s="47"/>
    </row>
    <row r="67" spans="1:18">
      <c r="A67" s="27"/>
      <c r="B67" s="46" t="s">
        <v>15</v>
      </c>
      <c r="C67" s="48" t="s">
        <v>11</v>
      </c>
      <c r="D67" s="82">
        <v>4.2999999999999997E-2</v>
      </c>
      <c r="E67" s="253">
        <v>0.41099999999999998</v>
      </c>
      <c r="F67" s="181">
        <f t="shared" si="0"/>
        <v>0.45399999999999996</v>
      </c>
      <c r="G67" s="249">
        <v>47.503700000000002</v>
      </c>
      <c r="H67" s="249"/>
      <c r="I67" s="174"/>
      <c r="J67" s="181">
        <f t="shared" si="1"/>
        <v>0</v>
      </c>
      <c r="K67" s="249">
        <v>1.4E-2</v>
      </c>
      <c r="L67" s="33"/>
      <c r="M67" s="33"/>
      <c r="N67" s="33"/>
      <c r="O67" s="33"/>
      <c r="P67" s="33"/>
      <c r="Q67" s="175">
        <f t="shared" si="2"/>
        <v>47.971700000000006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88">
        <v>1.9224000214199655</v>
      </c>
      <c r="E68" s="255">
        <v>16.347000000000001</v>
      </c>
      <c r="F68" s="185">
        <f t="shared" si="0"/>
        <v>18.269400021419965</v>
      </c>
      <c r="G68" s="256">
        <v>7384.3860000000004</v>
      </c>
      <c r="H68" s="256"/>
      <c r="I68" s="186"/>
      <c r="J68" s="185">
        <f t="shared" si="1"/>
        <v>0</v>
      </c>
      <c r="K68" s="256">
        <v>0.75600000000000001</v>
      </c>
      <c r="L68" s="37"/>
      <c r="M68" s="37"/>
      <c r="N68" s="37"/>
      <c r="O68" s="37"/>
      <c r="P68" s="37"/>
      <c r="Q68" s="187">
        <f t="shared" si="2"/>
        <v>7403.4114000214204</v>
      </c>
      <c r="R68" s="47"/>
    </row>
    <row r="69" spans="1:18">
      <c r="D69" s="120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56</v>
      </c>
      <c r="C74" s="35"/>
      <c r="D74" s="112"/>
      <c r="E74" s="113"/>
      <c r="F74" s="188"/>
      <c r="G74" s="145"/>
      <c r="H74" s="145"/>
      <c r="I74" s="65"/>
      <c r="J74" s="188"/>
      <c r="K74" s="189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49">
        <f t="shared" ref="D76:D77" si="25">D61+D63+D65+D67</f>
        <v>0.49759999999999999</v>
      </c>
      <c r="E76" s="33">
        <f t="shared" ref="E76:E77" si="26">+E61+E63+E65+E67</f>
        <v>9.5169999999999995</v>
      </c>
      <c r="F76" s="191">
        <f t="shared" ref="F76:F133" si="27">SUM(D76:E76)</f>
        <v>10.0146</v>
      </c>
      <c r="G76" s="49">
        <f t="shared" ref="G76:H77" si="28">+G61+G63+G65+G67</f>
        <v>733.37819999999999</v>
      </c>
      <c r="H76" s="49">
        <f t="shared" si="28"/>
        <v>1.8473999999999999</v>
      </c>
      <c r="I76" s="50"/>
      <c r="J76" s="191">
        <f t="shared" ref="J76:J133" si="29">SUM(H76:I76)</f>
        <v>1.8473999999999999</v>
      </c>
      <c r="K76" s="49">
        <f t="shared" ref="K76:L77" si="30">+K61+K63+K65+K67</f>
        <v>1.4E-2</v>
      </c>
      <c r="L76" s="33">
        <f t="shared" si="30"/>
        <v>1.6E-2</v>
      </c>
      <c r="M76" s="33"/>
      <c r="N76" s="33"/>
      <c r="O76" s="33"/>
      <c r="P76" s="33"/>
      <c r="Q76" s="175">
        <f t="shared" ref="Q76:Q140" si="31">SUM(F76:G76,J76:P76)</f>
        <v>745.27019999999993</v>
      </c>
      <c r="R76" s="27"/>
    </row>
    <row r="77" spans="1:18">
      <c r="A77" s="166" t="s">
        <v>53</v>
      </c>
      <c r="B77" s="309"/>
      <c r="C77" s="192" t="s">
        <v>13</v>
      </c>
      <c r="D77" s="68">
        <f t="shared" si="25"/>
        <v>33.077160368555781</v>
      </c>
      <c r="E77" s="54">
        <f t="shared" si="26"/>
        <v>804.74699999999996</v>
      </c>
      <c r="F77" s="193">
        <f t="shared" si="27"/>
        <v>837.82416036855579</v>
      </c>
      <c r="G77" s="68">
        <f t="shared" si="28"/>
        <v>91921.152000000002</v>
      </c>
      <c r="H77" s="68">
        <f t="shared" si="28"/>
        <v>52.570999999999998</v>
      </c>
      <c r="I77" s="63"/>
      <c r="J77" s="193">
        <f t="shared" si="29"/>
        <v>52.570999999999998</v>
      </c>
      <c r="K77" s="68">
        <f t="shared" si="30"/>
        <v>0.75600000000000001</v>
      </c>
      <c r="L77" s="54">
        <f t="shared" si="30"/>
        <v>1.393</v>
      </c>
      <c r="M77" s="54"/>
      <c r="N77" s="54"/>
      <c r="O77" s="54"/>
      <c r="P77" s="54"/>
      <c r="Q77" s="180">
        <f t="shared" si="31"/>
        <v>92813.696160368549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88">
        <v>8.3427000000000007</v>
      </c>
      <c r="E78" s="257">
        <v>14.879799999999999</v>
      </c>
      <c r="F78" s="191">
        <f t="shared" si="27"/>
        <v>23.2225</v>
      </c>
      <c r="G78" s="249">
        <v>0.8649</v>
      </c>
      <c r="H78" s="249">
        <v>36.020400000000002</v>
      </c>
      <c r="I78" s="174"/>
      <c r="J78" s="191">
        <f t="shared" si="29"/>
        <v>36.020400000000002</v>
      </c>
      <c r="K78" s="249">
        <v>2.1677</v>
      </c>
      <c r="L78" s="33">
        <v>1.2304999999999999</v>
      </c>
      <c r="M78" s="33">
        <v>2.7E-2</v>
      </c>
      <c r="N78" s="33">
        <v>24.9755</v>
      </c>
      <c r="O78" s="33">
        <v>5.1186999999999996</v>
      </c>
      <c r="P78" s="33">
        <v>10.2143</v>
      </c>
      <c r="Q78" s="175">
        <f t="shared" si="31"/>
        <v>103.8415</v>
      </c>
      <c r="R78" s="27"/>
    </row>
    <row r="79" spans="1:18">
      <c r="A79" s="176" t="s">
        <v>31</v>
      </c>
      <c r="B79" s="307"/>
      <c r="C79" s="192" t="s">
        <v>13</v>
      </c>
      <c r="D79" s="83">
        <v>5671.3997431924599</v>
      </c>
      <c r="E79" s="258">
        <v>7809.16</v>
      </c>
      <c r="F79" s="193">
        <f t="shared" si="27"/>
        <v>13480.55974319246</v>
      </c>
      <c r="G79" s="252">
        <v>1110.6220000000001</v>
      </c>
      <c r="H79" s="252">
        <v>26846.59</v>
      </c>
      <c r="I79" s="179"/>
      <c r="J79" s="193">
        <f t="shared" si="29"/>
        <v>26846.59</v>
      </c>
      <c r="K79" s="252">
        <v>1931.4880000000001</v>
      </c>
      <c r="L79" s="54">
        <v>1314.413</v>
      </c>
      <c r="M79" s="54">
        <f>17.408*1.08</f>
        <v>18.800640000000001</v>
      </c>
      <c r="N79" s="54">
        <v>13927.177</v>
      </c>
      <c r="O79" s="54">
        <v>3732.5990000000002</v>
      </c>
      <c r="P79" s="54">
        <f>6446.681*1.08</f>
        <v>6962.4154799999997</v>
      </c>
      <c r="Q79" s="180">
        <f t="shared" si="31"/>
        <v>69324.664863192462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82"/>
      <c r="E80" s="257">
        <v>1.09E-2</v>
      </c>
      <c r="F80" s="191">
        <f t="shared" si="27"/>
        <v>1.09E-2</v>
      </c>
      <c r="G80" s="249"/>
      <c r="H80" s="249">
        <v>0.47320000000000001</v>
      </c>
      <c r="I80" s="174"/>
      <c r="J80" s="191">
        <f t="shared" si="29"/>
        <v>0.47320000000000001</v>
      </c>
      <c r="K80" s="249">
        <v>1.0999999999999999E-2</v>
      </c>
      <c r="L80" s="33"/>
      <c r="M80" s="33"/>
      <c r="N80" s="33"/>
      <c r="O80" s="33"/>
      <c r="P80" s="33"/>
      <c r="Q80" s="175">
        <f t="shared" si="31"/>
        <v>0.49510000000000004</v>
      </c>
      <c r="R80" s="27"/>
    </row>
    <row r="81" spans="1:18">
      <c r="A81" s="176" t="s">
        <v>0</v>
      </c>
      <c r="B81" s="307"/>
      <c r="C81" s="192" t="s">
        <v>13</v>
      </c>
      <c r="D81" s="81"/>
      <c r="E81" s="258">
        <v>1.177</v>
      </c>
      <c r="F81" s="193">
        <f t="shared" si="27"/>
        <v>1.177</v>
      </c>
      <c r="G81" s="252"/>
      <c r="H81" s="252">
        <v>56.265000000000001</v>
      </c>
      <c r="I81" s="179"/>
      <c r="J81" s="193">
        <f t="shared" si="29"/>
        <v>56.265000000000001</v>
      </c>
      <c r="K81" s="252">
        <v>0.59399999999999997</v>
      </c>
      <c r="L81" s="54"/>
      <c r="M81" s="54"/>
      <c r="N81" s="54"/>
      <c r="O81" s="54"/>
      <c r="P81" s="54"/>
      <c r="Q81" s="180">
        <f t="shared" si="31"/>
        <v>58.036000000000001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85"/>
      <c r="E82" s="257"/>
      <c r="F82" s="191">
        <f t="shared" si="27"/>
        <v>0</v>
      </c>
      <c r="G82" s="249"/>
      <c r="H82" s="249"/>
      <c r="I82" s="174"/>
      <c r="J82" s="191">
        <f t="shared" si="29"/>
        <v>0</v>
      </c>
      <c r="K82" s="249"/>
      <c r="L82" s="33"/>
      <c r="M82" s="33"/>
      <c r="N82" s="33"/>
      <c r="O82" s="33"/>
      <c r="P82" s="33"/>
      <c r="Q82" s="175">
        <f t="shared" si="31"/>
        <v>0</v>
      </c>
      <c r="R82" s="27"/>
    </row>
    <row r="83" spans="1:18">
      <c r="A83" s="176"/>
      <c r="B83" s="177" t="s">
        <v>61</v>
      </c>
      <c r="C83" s="192" t="s">
        <v>13</v>
      </c>
      <c r="D83" s="86"/>
      <c r="E83" s="258"/>
      <c r="F83" s="193">
        <f t="shared" si="27"/>
        <v>0</v>
      </c>
      <c r="G83" s="252"/>
      <c r="H83" s="252"/>
      <c r="I83" s="179"/>
      <c r="J83" s="193">
        <f t="shared" si="29"/>
        <v>0</v>
      </c>
      <c r="K83" s="252"/>
      <c r="L83" s="54"/>
      <c r="M83" s="54"/>
      <c r="N83" s="54"/>
      <c r="O83" s="54"/>
      <c r="P83" s="54"/>
      <c r="Q83" s="180">
        <f t="shared" si="31"/>
        <v>0</v>
      </c>
      <c r="R83" s="27"/>
    </row>
    <row r="84" spans="1:18">
      <c r="A84" s="176"/>
      <c r="B84" s="306" t="s">
        <v>62</v>
      </c>
      <c r="C84" s="32" t="s">
        <v>11</v>
      </c>
      <c r="D84" s="82"/>
      <c r="E84" s="257"/>
      <c r="F84" s="191">
        <f t="shared" si="27"/>
        <v>0</v>
      </c>
      <c r="G84" s="249"/>
      <c r="H84" s="249"/>
      <c r="I84" s="174"/>
      <c r="J84" s="191">
        <f t="shared" si="29"/>
        <v>0</v>
      </c>
      <c r="K84" s="249"/>
      <c r="L84" s="33"/>
      <c r="M84" s="33"/>
      <c r="N84" s="33"/>
      <c r="O84" s="33"/>
      <c r="P84" s="33"/>
      <c r="Q84" s="175">
        <f t="shared" si="31"/>
        <v>0</v>
      </c>
      <c r="R84" s="27"/>
    </row>
    <row r="85" spans="1:18">
      <c r="A85" s="176" t="s">
        <v>12</v>
      </c>
      <c r="B85" s="307"/>
      <c r="C85" s="192" t="s">
        <v>13</v>
      </c>
      <c r="D85" s="81"/>
      <c r="E85" s="258"/>
      <c r="F85" s="193">
        <f t="shared" si="27"/>
        <v>0</v>
      </c>
      <c r="G85" s="252"/>
      <c r="H85" s="252"/>
      <c r="I85" s="179"/>
      <c r="J85" s="193">
        <f t="shared" si="29"/>
        <v>0</v>
      </c>
      <c r="K85" s="252"/>
      <c r="L85" s="54"/>
      <c r="M85" s="54"/>
      <c r="N85" s="54"/>
      <c r="O85" s="54"/>
      <c r="P85" s="54"/>
      <c r="Q85" s="180">
        <f t="shared" si="31"/>
        <v>0</v>
      </c>
      <c r="R85" s="27"/>
    </row>
    <row r="86" spans="1:18">
      <c r="A86" s="176"/>
      <c r="B86" s="46" t="s">
        <v>15</v>
      </c>
      <c r="C86" s="32" t="s">
        <v>11</v>
      </c>
      <c r="D86" s="85">
        <v>7.0420999999999996</v>
      </c>
      <c r="E86" s="257">
        <v>14.9358</v>
      </c>
      <c r="F86" s="191">
        <f t="shared" si="27"/>
        <v>21.977899999999998</v>
      </c>
      <c r="G86" s="249">
        <v>3.8313000000000001</v>
      </c>
      <c r="H86" s="249">
        <v>99.178700000000006</v>
      </c>
      <c r="I86" s="174"/>
      <c r="J86" s="191">
        <f t="shared" si="29"/>
        <v>99.178700000000006</v>
      </c>
      <c r="K86" s="249">
        <v>3.5015999999999998</v>
      </c>
      <c r="L86" s="33">
        <v>4.7689000000000004</v>
      </c>
      <c r="M86" s="33">
        <v>3.3999999999999998E-3</v>
      </c>
      <c r="N86" s="33">
        <v>18.441199999999998</v>
      </c>
      <c r="O86" s="33">
        <v>2.2033999999999998</v>
      </c>
      <c r="P86" s="33">
        <v>7.9860600000000002</v>
      </c>
      <c r="Q86" s="175">
        <f t="shared" si="31"/>
        <v>161.89246</v>
      </c>
      <c r="R86" s="27"/>
    </row>
    <row r="87" spans="1:18">
      <c r="A87" s="176"/>
      <c r="B87" s="177" t="s">
        <v>63</v>
      </c>
      <c r="C87" s="192" t="s">
        <v>13</v>
      </c>
      <c r="D87" s="86">
        <v>2953.9674329140034</v>
      </c>
      <c r="E87" s="258">
        <v>5920.9570000000003</v>
      </c>
      <c r="F87" s="193">
        <f t="shared" si="27"/>
        <v>8874.9244329140038</v>
      </c>
      <c r="G87" s="252">
        <v>1937.905</v>
      </c>
      <c r="H87" s="252">
        <v>24763.719000000001</v>
      </c>
      <c r="I87" s="179"/>
      <c r="J87" s="193">
        <f t="shared" si="29"/>
        <v>24763.719000000001</v>
      </c>
      <c r="K87" s="252">
        <v>1359.614</v>
      </c>
      <c r="L87" s="54">
        <v>2252.8649999999998</v>
      </c>
      <c r="M87" s="54">
        <f>1.02*1.08</f>
        <v>1.1016000000000001</v>
      </c>
      <c r="N87" s="54">
        <v>7975.7950000000001</v>
      </c>
      <c r="O87" s="54">
        <v>1045.069</v>
      </c>
      <c r="P87" s="54">
        <f>3892.154*1.08</f>
        <v>4203.5263199999999</v>
      </c>
      <c r="Q87" s="180">
        <f t="shared" si="31"/>
        <v>52414.519352914002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49">
        <f t="shared" ref="D88:D89" si="32">D78+D80+D82+D84+D86</f>
        <v>15.3848</v>
      </c>
      <c r="E88" s="33">
        <f t="shared" ref="E88:E89" si="33">+E78+E80+E82+E84+E86</f>
        <v>29.826499999999999</v>
      </c>
      <c r="F88" s="191">
        <f t="shared" si="27"/>
        <v>45.211300000000001</v>
      </c>
      <c r="G88" s="49">
        <f>+G78+G80+G82+G84+G86</f>
        <v>4.6962000000000002</v>
      </c>
      <c r="H88" s="49">
        <f t="shared" ref="H88:H89" si="34">+H78+H80+H82+H84+H86</f>
        <v>135.67230000000001</v>
      </c>
      <c r="I88" s="50"/>
      <c r="J88" s="191">
        <f t="shared" si="29"/>
        <v>135.67230000000001</v>
      </c>
      <c r="K88" s="49">
        <f t="shared" ref="K88:O89" si="35">+K78+K80+K82+K84+K86</f>
        <v>5.6802999999999999</v>
      </c>
      <c r="L88" s="33">
        <f t="shared" si="35"/>
        <v>5.9994000000000005</v>
      </c>
      <c r="M88" s="33">
        <f t="shared" si="35"/>
        <v>3.04E-2</v>
      </c>
      <c r="N88" s="33">
        <f t="shared" si="35"/>
        <v>43.416699999999999</v>
      </c>
      <c r="O88" s="33">
        <f t="shared" si="35"/>
        <v>7.3220999999999989</v>
      </c>
      <c r="P88" s="33">
        <f>+P78+P80+P82+P84+P86</f>
        <v>18.20036</v>
      </c>
      <c r="Q88" s="175">
        <f t="shared" si="31"/>
        <v>266.22906</v>
      </c>
      <c r="R88" s="27"/>
    </row>
    <row r="89" spans="1:18">
      <c r="A89" s="183"/>
      <c r="B89" s="309"/>
      <c r="C89" s="192" t="s">
        <v>13</v>
      </c>
      <c r="D89" s="68">
        <f t="shared" si="32"/>
        <v>8625.3671761064634</v>
      </c>
      <c r="E89" s="54">
        <f t="shared" si="33"/>
        <v>13731.294</v>
      </c>
      <c r="F89" s="193">
        <f t="shared" si="27"/>
        <v>22356.661176106463</v>
      </c>
      <c r="G89" s="68">
        <f>+G79+G81+G83+G85+G87</f>
        <v>3048.527</v>
      </c>
      <c r="H89" s="68">
        <f t="shared" si="34"/>
        <v>51666.574000000001</v>
      </c>
      <c r="I89" s="63"/>
      <c r="J89" s="193">
        <f t="shared" si="29"/>
        <v>51666.574000000001</v>
      </c>
      <c r="K89" s="68">
        <f t="shared" si="35"/>
        <v>3291.6959999999999</v>
      </c>
      <c r="L89" s="54">
        <f t="shared" si="35"/>
        <v>3567.2779999999998</v>
      </c>
      <c r="M89" s="54">
        <f t="shared" si="35"/>
        <v>19.902240000000003</v>
      </c>
      <c r="N89" s="54">
        <f t="shared" si="35"/>
        <v>21902.972000000002</v>
      </c>
      <c r="O89" s="54">
        <f t="shared" si="35"/>
        <v>4777.6679999999997</v>
      </c>
      <c r="P89" s="54">
        <f>+P79+P81+P83+P85+P87</f>
        <v>11165.941800000001</v>
      </c>
      <c r="Q89" s="180">
        <f t="shared" si="31"/>
        <v>121797.22021610648</v>
      </c>
      <c r="R89" s="27"/>
    </row>
    <row r="90" spans="1:18">
      <c r="A90" s="310" t="s">
        <v>64</v>
      </c>
      <c r="B90" s="311"/>
      <c r="C90" s="32" t="s">
        <v>11</v>
      </c>
      <c r="D90" s="82">
        <v>0.3347</v>
      </c>
      <c r="E90" s="259">
        <v>0.91449999999999998</v>
      </c>
      <c r="F90" s="191">
        <f t="shared" si="27"/>
        <v>1.2492000000000001</v>
      </c>
      <c r="G90" s="249">
        <v>0.49380000000000002</v>
      </c>
      <c r="H90" s="249">
        <v>4.4238</v>
      </c>
      <c r="I90" s="174"/>
      <c r="J90" s="191">
        <f t="shared" si="29"/>
        <v>4.4238</v>
      </c>
      <c r="K90" s="249">
        <v>2.2200000000000001E-2</v>
      </c>
      <c r="L90" s="33">
        <v>0.3296</v>
      </c>
      <c r="M90" s="33"/>
      <c r="N90" s="33">
        <v>0.1245</v>
      </c>
      <c r="O90" s="33"/>
      <c r="P90" s="33">
        <v>0.36980000000000002</v>
      </c>
      <c r="Q90" s="175">
        <f t="shared" si="31"/>
        <v>7.0129000000000001</v>
      </c>
      <c r="R90" s="27"/>
    </row>
    <row r="91" spans="1:18">
      <c r="A91" s="312"/>
      <c r="B91" s="313"/>
      <c r="C91" s="192" t="s">
        <v>13</v>
      </c>
      <c r="D91" s="89">
        <v>642.92400716365466</v>
      </c>
      <c r="E91" s="260">
        <v>1363.8420000000001</v>
      </c>
      <c r="F91" s="193">
        <f t="shared" si="27"/>
        <v>2006.7660071636546</v>
      </c>
      <c r="G91" s="252">
        <v>1206.328</v>
      </c>
      <c r="H91" s="252">
        <v>5353.0360000000001</v>
      </c>
      <c r="I91" s="179"/>
      <c r="J91" s="193">
        <f t="shared" si="29"/>
        <v>5353.0360000000001</v>
      </c>
      <c r="K91" s="252">
        <v>36.892000000000003</v>
      </c>
      <c r="L91" s="54">
        <v>668.93499999999995</v>
      </c>
      <c r="M91" s="54"/>
      <c r="N91" s="54">
        <v>166.839</v>
      </c>
      <c r="O91" s="54"/>
      <c r="P91" s="54">
        <f>590.04*1.08</f>
        <v>637.2432</v>
      </c>
      <c r="Q91" s="180">
        <f t="shared" si="31"/>
        <v>10076.039207163654</v>
      </c>
      <c r="R91" s="27"/>
    </row>
    <row r="92" spans="1:18">
      <c r="A92" s="310" t="s">
        <v>65</v>
      </c>
      <c r="B92" s="311"/>
      <c r="C92" s="32" t="s">
        <v>11</v>
      </c>
      <c r="D92" s="80"/>
      <c r="E92" s="259"/>
      <c r="F92" s="191">
        <f t="shared" si="27"/>
        <v>0</v>
      </c>
      <c r="G92" s="249">
        <v>1.9430000000000001</v>
      </c>
      <c r="H92" s="249">
        <v>738.41700000000003</v>
      </c>
      <c r="I92" s="174"/>
      <c r="J92" s="191">
        <f t="shared" si="29"/>
        <v>738.41700000000003</v>
      </c>
      <c r="K92" s="249">
        <v>279.33699999999999</v>
      </c>
      <c r="L92" s="33">
        <v>6.9794999999999998</v>
      </c>
      <c r="M92" s="33"/>
      <c r="N92" s="33">
        <v>2.4430000000000001</v>
      </c>
      <c r="O92" s="33"/>
      <c r="P92" s="33"/>
      <c r="Q92" s="175">
        <f t="shared" si="31"/>
        <v>1029.1195</v>
      </c>
      <c r="R92" s="27"/>
    </row>
    <row r="93" spans="1:18">
      <c r="A93" s="312"/>
      <c r="B93" s="313"/>
      <c r="C93" s="192" t="s">
        <v>13</v>
      </c>
      <c r="D93" s="86"/>
      <c r="E93" s="260"/>
      <c r="F93" s="193">
        <f t="shared" si="27"/>
        <v>0</v>
      </c>
      <c r="G93" s="252">
        <v>154.23599999999999</v>
      </c>
      <c r="H93" s="252">
        <v>58051.663999999997</v>
      </c>
      <c r="I93" s="179"/>
      <c r="J93" s="193">
        <f t="shared" si="29"/>
        <v>58051.663999999997</v>
      </c>
      <c r="K93" s="252">
        <v>22456.944</v>
      </c>
      <c r="L93" s="54">
        <v>654.40499999999997</v>
      </c>
      <c r="M93" s="54"/>
      <c r="N93" s="54">
        <v>421.75099999999998</v>
      </c>
      <c r="O93" s="54"/>
      <c r="P93" s="54"/>
      <c r="Q93" s="180">
        <f t="shared" si="31"/>
        <v>81739</v>
      </c>
      <c r="R93" s="27"/>
    </row>
    <row r="94" spans="1:18">
      <c r="A94" s="310" t="s">
        <v>66</v>
      </c>
      <c r="B94" s="311"/>
      <c r="C94" s="32" t="s">
        <v>11</v>
      </c>
      <c r="D94" s="85"/>
      <c r="E94" s="259">
        <v>2.1299999999999999E-2</v>
      </c>
      <c r="F94" s="191">
        <f t="shared" si="27"/>
        <v>2.1299999999999999E-2</v>
      </c>
      <c r="G94" s="249"/>
      <c r="H94" s="249">
        <v>0.05</v>
      </c>
      <c r="I94" s="174"/>
      <c r="J94" s="191">
        <f t="shared" si="29"/>
        <v>0.05</v>
      </c>
      <c r="K94" s="249"/>
      <c r="L94" s="33"/>
      <c r="M94" s="33"/>
      <c r="N94" s="33"/>
      <c r="O94" s="33"/>
      <c r="P94" s="33"/>
      <c r="Q94" s="175">
        <f t="shared" si="31"/>
        <v>7.1300000000000002E-2</v>
      </c>
      <c r="R94" s="27"/>
    </row>
    <row r="95" spans="1:18">
      <c r="A95" s="312"/>
      <c r="B95" s="313"/>
      <c r="C95" s="192" t="s">
        <v>13</v>
      </c>
      <c r="D95" s="86"/>
      <c r="E95" s="260">
        <v>55.360999999999997</v>
      </c>
      <c r="F95" s="193">
        <f t="shared" si="27"/>
        <v>55.360999999999997</v>
      </c>
      <c r="G95" s="252"/>
      <c r="H95" s="252">
        <v>129.88</v>
      </c>
      <c r="I95" s="179"/>
      <c r="J95" s="193">
        <f t="shared" si="29"/>
        <v>129.88</v>
      </c>
      <c r="K95" s="252"/>
      <c r="L95" s="54"/>
      <c r="M95" s="54"/>
      <c r="N95" s="54"/>
      <c r="O95" s="54"/>
      <c r="P95" s="54"/>
      <c r="Q95" s="180">
        <f t="shared" si="31"/>
        <v>185.24099999999999</v>
      </c>
      <c r="R95" s="27"/>
    </row>
    <row r="96" spans="1:18">
      <c r="A96" s="310" t="s">
        <v>67</v>
      </c>
      <c r="B96" s="311"/>
      <c r="C96" s="32" t="s">
        <v>11</v>
      </c>
      <c r="D96" s="82"/>
      <c r="E96" s="259">
        <v>1.3242</v>
      </c>
      <c r="F96" s="191">
        <f t="shared" si="27"/>
        <v>1.3242</v>
      </c>
      <c r="G96" s="249">
        <v>0</v>
      </c>
      <c r="H96" s="249">
        <v>8.9657999999999998</v>
      </c>
      <c r="I96" s="174"/>
      <c r="J96" s="191">
        <f t="shared" si="29"/>
        <v>8.9657999999999998</v>
      </c>
      <c r="K96" s="249">
        <v>1.5599999999999999E-2</v>
      </c>
      <c r="L96" s="33"/>
      <c r="M96" s="33"/>
      <c r="N96" s="33"/>
      <c r="O96" s="33"/>
      <c r="P96" s="33"/>
      <c r="Q96" s="175">
        <f t="shared" si="31"/>
        <v>10.305599999999998</v>
      </c>
      <c r="R96" s="27"/>
    </row>
    <row r="97" spans="1:18">
      <c r="A97" s="312"/>
      <c r="B97" s="313"/>
      <c r="C97" s="192" t="s">
        <v>13</v>
      </c>
      <c r="D97" s="86"/>
      <c r="E97" s="260">
        <v>2270.3969999999999</v>
      </c>
      <c r="F97" s="193">
        <f t="shared" si="27"/>
        <v>2270.3969999999999</v>
      </c>
      <c r="G97" s="252">
        <v>1.2849999999999999</v>
      </c>
      <c r="H97" s="252">
        <v>15037.931</v>
      </c>
      <c r="I97" s="179"/>
      <c r="J97" s="193">
        <f t="shared" si="29"/>
        <v>15037.931</v>
      </c>
      <c r="K97" s="252">
        <v>16.681000000000001</v>
      </c>
      <c r="L97" s="54"/>
      <c r="M97" s="54"/>
      <c r="N97" s="54"/>
      <c r="O97" s="54"/>
      <c r="P97" s="54"/>
      <c r="Q97" s="180">
        <f t="shared" si="31"/>
        <v>17326.294000000002</v>
      </c>
      <c r="R97" s="27"/>
    </row>
    <row r="98" spans="1:18">
      <c r="A98" s="310" t="s">
        <v>68</v>
      </c>
      <c r="B98" s="311"/>
      <c r="C98" s="32" t="s">
        <v>11</v>
      </c>
      <c r="D98" s="82"/>
      <c r="E98" s="259"/>
      <c r="F98" s="191">
        <f t="shared" si="27"/>
        <v>0</v>
      </c>
      <c r="G98" s="249">
        <v>0</v>
      </c>
      <c r="H98" s="249">
        <v>1.1999999999999999E-3</v>
      </c>
      <c r="I98" s="174"/>
      <c r="J98" s="191">
        <f t="shared" si="29"/>
        <v>1.1999999999999999E-3</v>
      </c>
      <c r="K98" s="249"/>
      <c r="L98" s="33"/>
      <c r="M98" s="33"/>
      <c r="N98" s="33"/>
      <c r="O98" s="33"/>
      <c r="P98" s="33"/>
      <c r="Q98" s="175">
        <f t="shared" si="31"/>
        <v>1.1999999999999999E-3</v>
      </c>
      <c r="R98" s="27"/>
    </row>
    <row r="99" spans="1:18">
      <c r="A99" s="312"/>
      <c r="B99" s="313"/>
      <c r="C99" s="192" t="s">
        <v>13</v>
      </c>
      <c r="D99" s="81"/>
      <c r="E99" s="260"/>
      <c r="F99" s="193">
        <f t="shared" si="27"/>
        <v>0</v>
      </c>
      <c r="G99" s="252">
        <v>3.6720000000000002</v>
      </c>
      <c r="H99" s="252">
        <v>1.9870000000000001</v>
      </c>
      <c r="I99" s="179"/>
      <c r="J99" s="193">
        <f t="shared" si="29"/>
        <v>1.9870000000000001</v>
      </c>
      <c r="K99" s="252"/>
      <c r="L99" s="54"/>
      <c r="M99" s="54"/>
      <c r="N99" s="54"/>
      <c r="O99" s="54"/>
      <c r="P99" s="59"/>
      <c r="Q99" s="180">
        <f t="shared" si="31"/>
        <v>5.6590000000000007</v>
      </c>
      <c r="R99" s="27"/>
    </row>
    <row r="100" spans="1:18">
      <c r="A100" s="310" t="s">
        <v>69</v>
      </c>
      <c r="B100" s="311"/>
      <c r="C100" s="32" t="s">
        <v>11</v>
      </c>
      <c r="D100" s="82"/>
      <c r="E100" s="259"/>
      <c r="F100" s="191">
        <f t="shared" si="27"/>
        <v>0</v>
      </c>
      <c r="G100" s="249">
        <v>2.8000000000000001E-2</v>
      </c>
      <c r="H100" s="249"/>
      <c r="I100" s="174"/>
      <c r="J100" s="191">
        <f t="shared" si="29"/>
        <v>0</v>
      </c>
      <c r="K100" s="249"/>
      <c r="L100" s="33"/>
      <c r="M100" s="33"/>
      <c r="N100" s="33"/>
      <c r="O100" s="33"/>
      <c r="P100" s="33"/>
      <c r="Q100" s="175">
        <f t="shared" si="31"/>
        <v>2.8000000000000001E-2</v>
      </c>
      <c r="R100" s="27"/>
    </row>
    <row r="101" spans="1:18">
      <c r="A101" s="312"/>
      <c r="B101" s="313"/>
      <c r="C101" s="192" t="s">
        <v>13</v>
      </c>
      <c r="D101" s="84"/>
      <c r="E101" s="260"/>
      <c r="F101" s="193">
        <f t="shared" si="27"/>
        <v>0</v>
      </c>
      <c r="G101" s="252">
        <v>18.36</v>
      </c>
      <c r="H101" s="252"/>
      <c r="I101" s="179"/>
      <c r="J101" s="193">
        <f t="shared" si="29"/>
        <v>0</v>
      </c>
      <c r="K101" s="252"/>
      <c r="L101" s="54"/>
      <c r="M101" s="54"/>
      <c r="N101" s="54"/>
      <c r="O101" s="54"/>
      <c r="P101" s="59"/>
      <c r="Q101" s="180">
        <f t="shared" si="31"/>
        <v>18.36</v>
      </c>
      <c r="R101" s="27"/>
    </row>
    <row r="102" spans="1:18">
      <c r="A102" s="310" t="s">
        <v>70</v>
      </c>
      <c r="B102" s="311"/>
      <c r="C102" s="32" t="s">
        <v>11</v>
      </c>
      <c r="D102" s="85">
        <v>3.02095</v>
      </c>
      <c r="E102" s="259">
        <v>488.26569999999998</v>
      </c>
      <c r="F102" s="191">
        <f t="shared" si="27"/>
        <v>491.28665000000001</v>
      </c>
      <c r="G102" s="249">
        <v>37.090400000000002</v>
      </c>
      <c r="H102" s="249">
        <v>701.11059999999998</v>
      </c>
      <c r="I102" s="174"/>
      <c r="J102" s="191">
        <f t="shared" si="29"/>
        <v>701.11059999999998</v>
      </c>
      <c r="K102" s="249">
        <v>17.077000000000002</v>
      </c>
      <c r="L102" s="33">
        <v>194.10290000000001</v>
      </c>
      <c r="M102" s="33">
        <v>0.23469999999999999</v>
      </c>
      <c r="N102" s="33">
        <v>38.537100000000002</v>
      </c>
      <c r="O102" s="33">
        <v>2.4256000000000002</v>
      </c>
      <c r="P102" s="33">
        <v>2.9742999999999999</v>
      </c>
      <c r="Q102" s="175">
        <f t="shared" si="31"/>
        <v>1484.8392500000002</v>
      </c>
      <c r="R102" s="27"/>
    </row>
    <row r="103" spans="1:18">
      <c r="A103" s="312"/>
      <c r="B103" s="313"/>
      <c r="C103" s="192" t="s">
        <v>13</v>
      </c>
      <c r="D103" s="86">
        <v>6363.4605109036111</v>
      </c>
      <c r="E103" s="260">
        <v>171554.62</v>
      </c>
      <c r="F103" s="193">
        <f t="shared" si="27"/>
        <v>177918.08051090362</v>
      </c>
      <c r="G103" s="252">
        <v>11757.73</v>
      </c>
      <c r="H103" s="252">
        <v>431282.06699999998</v>
      </c>
      <c r="I103" s="179"/>
      <c r="J103" s="193">
        <f t="shared" si="29"/>
        <v>431282.06699999998</v>
      </c>
      <c r="K103" s="252">
        <v>5274.1790000000001</v>
      </c>
      <c r="L103" s="54">
        <v>13782.762000000001</v>
      </c>
      <c r="M103" s="54">
        <f>31.181*1.08</f>
        <v>33.67548</v>
      </c>
      <c r="N103" s="54">
        <v>15979.883</v>
      </c>
      <c r="O103" s="54">
        <v>1626.982</v>
      </c>
      <c r="P103" s="54">
        <f>3294.26*1.08</f>
        <v>3557.8008000000004</v>
      </c>
      <c r="Q103" s="180">
        <f t="shared" si="31"/>
        <v>661213.15979090356</v>
      </c>
      <c r="R103" s="27"/>
    </row>
    <row r="104" spans="1:18">
      <c r="A104" s="314" t="s">
        <v>71</v>
      </c>
      <c r="B104" s="315"/>
      <c r="C104" s="32" t="s">
        <v>11</v>
      </c>
      <c r="D104" s="49">
        <f t="shared" ref="D104:D105" si="36">D9+D11+D23+D29+D37+D39+D41+D43+D45+D47+D49+D51+D53+D59+D76+D88+D90+D92+D94+D96+D98+D100+D102</f>
        <v>250.73095000000006</v>
      </c>
      <c r="E104" s="33">
        <f t="shared" ref="E104:E105" si="37">+E9+E11+E23+E29+E37+E39+E41+E43+E45+E47+E49+E51+E53+E59+E76+E88+E90+E92+E94+E96+E98+E100+E102</f>
        <v>796.26209999999992</v>
      </c>
      <c r="F104" s="191">
        <f t="shared" si="27"/>
        <v>1046.99305</v>
      </c>
      <c r="G104" s="49">
        <f t="shared" ref="G104:H105" si="38">+G9+G11+G23+G29+G37+G39+G41+G43+G45+G47+G49+G51+G53+G59+G76+G88+G90+G92+G94+G96+G98+G100+G102</f>
        <v>1305.1171000000002</v>
      </c>
      <c r="H104" s="49">
        <f t="shared" si="38"/>
        <v>7016.4834999999994</v>
      </c>
      <c r="I104" s="50"/>
      <c r="J104" s="191">
        <f t="shared" si="29"/>
        <v>7016.4834999999994</v>
      </c>
      <c r="K104" s="49">
        <f t="shared" ref="K104:P105" si="39">+K9+K11+K23+K29+K37+K39+K41+K43+K45+K47+K49+K51+K53+K59+K76+K88+K90+K92+K94+K96+K98+K100+K102</f>
        <v>1853.0015999999998</v>
      </c>
      <c r="L104" s="33">
        <f t="shared" si="39"/>
        <v>333.07185000000004</v>
      </c>
      <c r="M104" s="33">
        <f t="shared" si="39"/>
        <v>0.2651</v>
      </c>
      <c r="N104" s="33">
        <f t="shared" si="39"/>
        <v>89.391099999999994</v>
      </c>
      <c r="O104" s="33">
        <f t="shared" si="39"/>
        <v>9.7644999999999982</v>
      </c>
      <c r="P104" s="33">
        <f t="shared" si="39"/>
        <v>21.84046</v>
      </c>
      <c r="Q104" s="175">
        <f t="shared" si="31"/>
        <v>11675.928259999999</v>
      </c>
      <c r="R104" s="27"/>
    </row>
    <row r="105" spans="1:18">
      <c r="A105" s="316"/>
      <c r="B105" s="317"/>
      <c r="C105" s="192" t="s">
        <v>13</v>
      </c>
      <c r="D105" s="68">
        <f t="shared" si="36"/>
        <v>135815.38207329629</v>
      </c>
      <c r="E105" s="54">
        <f t="shared" si="37"/>
        <v>330679.20299999998</v>
      </c>
      <c r="F105" s="193">
        <f t="shared" si="27"/>
        <v>466494.58507329627</v>
      </c>
      <c r="G105" s="68">
        <f t="shared" si="38"/>
        <v>338765.29299999995</v>
      </c>
      <c r="H105" s="68">
        <f t="shared" si="38"/>
        <v>1236730.946</v>
      </c>
      <c r="I105" s="63"/>
      <c r="J105" s="193">
        <f t="shared" si="29"/>
        <v>1236730.946</v>
      </c>
      <c r="K105" s="68">
        <f t="shared" si="39"/>
        <v>541535.30900000001</v>
      </c>
      <c r="L105" s="54">
        <f t="shared" si="39"/>
        <v>102960.461</v>
      </c>
      <c r="M105" s="54">
        <f t="shared" si="39"/>
        <v>53.577719999999999</v>
      </c>
      <c r="N105" s="54">
        <f t="shared" si="39"/>
        <v>39630.93</v>
      </c>
      <c r="O105" s="54">
        <f t="shared" si="39"/>
        <v>6417</v>
      </c>
      <c r="P105" s="54">
        <f t="shared" si="39"/>
        <v>15421.919400000002</v>
      </c>
      <c r="Q105" s="180">
        <f t="shared" si="31"/>
        <v>2748010.0211932966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82"/>
      <c r="E106" s="259"/>
      <c r="F106" s="191">
        <f t="shared" si="27"/>
        <v>0</v>
      </c>
      <c r="G106" s="249"/>
      <c r="H106" s="249">
        <v>2.1017999999999999</v>
      </c>
      <c r="I106" s="174"/>
      <c r="J106" s="191">
        <f t="shared" si="29"/>
        <v>2.1017999999999999</v>
      </c>
      <c r="K106" s="249">
        <v>0.18190000000000001</v>
      </c>
      <c r="L106" s="33"/>
      <c r="M106" s="33"/>
      <c r="N106" s="33"/>
      <c r="O106" s="33">
        <v>0.45500000000000002</v>
      </c>
      <c r="P106" s="33"/>
      <c r="Q106" s="175">
        <f t="shared" si="31"/>
        <v>2.7387000000000001</v>
      </c>
      <c r="R106" s="27"/>
    </row>
    <row r="107" spans="1:18">
      <c r="A107" s="172" t="s">
        <v>0</v>
      </c>
      <c r="B107" s="307"/>
      <c r="C107" s="192" t="s">
        <v>13</v>
      </c>
      <c r="D107" s="81"/>
      <c r="E107" s="261"/>
      <c r="F107" s="193">
        <f t="shared" si="27"/>
        <v>0</v>
      </c>
      <c r="G107" s="252"/>
      <c r="H107" s="252">
        <v>6950.5649999999996</v>
      </c>
      <c r="I107" s="179"/>
      <c r="J107" s="193">
        <f t="shared" si="29"/>
        <v>6950.5649999999996</v>
      </c>
      <c r="K107" s="252">
        <v>642.87900000000002</v>
      </c>
      <c r="L107" s="54"/>
      <c r="M107" s="54"/>
      <c r="N107" s="54"/>
      <c r="O107" s="54">
        <v>757.72799999999995</v>
      </c>
      <c r="P107" s="59"/>
      <c r="Q107" s="180">
        <f t="shared" si="31"/>
        <v>8351.1719999999987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85">
        <v>1.4778</v>
      </c>
      <c r="E108" s="257">
        <v>1.1840999999999999</v>
      </c>
      <c r="F108" s="191">
        <f t="shared" si="27"/>
        <v>2.6619000000000002</v>
      </c>
      <c r="G108" s="249">
        <v>5.0431999999999997</v>
      </c>
      <c r="H108" s="249">
        <v>28.9542</v>
      </c>
      <c r="I108" s="174"/>
      <c r="J108" s="191">
        <f t="shared" si="29"/>
        <v>28.9542</v>
      </c>
      <c r="K108" s="249">
        <v>2.9756999999999998</v>
      </c>
      <c r="L108" s="33">
        <v>5.9320000000000004</v>
      </c>
      <c r="M108" s="33"/>
      <c r="N108" s="33">
        <v>0.38819999999999999</v>
      </c>
      <c r="O108" s="33">
        <v>1.7198</v>
      </c>
      <c r="P108" s="33">
        <v>0.73809999999999998</v>
      </c>
      <c r="Q108" s="175">
        <f t="shared" si="31"/>
        <v>48.413100000000007</v>
      </c>
      <c r="R108" s="27"/>
    </row>
    <row r="109" spans="1:18">
      <c r="A109" s="176" t="s">
        <v>0</v>
      </c>
      <c r="B109" s="307"/>
      <c r="C109" s="192" t="s">
        <v>13</v>
      </c>
      <c r="D109" s="86">
        <v>1096.2432122146752</v>
      </c>
      <c r="E109" s="258">
        <v>853.81500000000005</v>
      </c>
      <c r="F109" s="193">
        <f t="shared" si="27"/>
        <v>1950.0582122146752</v>
      </c>
      <c r="G109" s="252">
        <v>3688.3739999999998</v>
      </c>
      <c r="H109" s="252">
        <v>11535.146000000001</v>
      </c>
      <c r="I109" s="179"/>
      <c r="J109" s="193">
        <f t="shared" si="29"/>
        <v>11535.146000000001</v>
      </c>
      <c r="K109" s="252">
        <v>1704.585</v>
      </c>
      <c r="L109" s="54">
        <v>3759.7649999999999</v>
      </c>
      <c r="M109" s="54"/>
      <c r="N109" s="54">
        <v>115.699</v>
      </c>
      <c r="O109" s="54">
        <v>885.08500000000004</v>
      </c>
      <c r="P109" s="54">
        <f>381.29*1.08</f>
        <v>411.79320000000007</v>
      </c>
      <c r="Q109" s="180">
        <f t="shared" si="31"/>
        <v>24050.505412214676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85">
        <v>1.83E-2</v>
      </c>
      <c r="E110" s="257">
        <v>0.86429999999999996</v>
      </c>
      <c r="F110" s="191">
        <f t="shared" si="27"/>
        <v>0.88259999999999994</v>
      </c>
      <c r="G110" s="249">
        <v>0.66149999999999998</v>
      </c>
      <c r="H110" s="249">
        <v>88.234399999999994</v>
      </c>
      <c r="I110" s="174"/>
      <c r="J110" s="191">
        <f t="shared" si="29"/>
        <v>88.234399999999994</v>
      </c>
      <c r="K110" s="249">
        <v>12.8636</v>
      </c>
      <c r="L110" s="33">
        <v>0.45929999999999999</v>
      </c>
      <c r="M110" s="33"/>
      <c r="N110" s="33">
        <v>8.9300000000000004E-2</v>
      </c>
      <c r="O110" s="33"/>
      <c r="P110" s="33"/>
      <c r="Q110" s="175">
        <f t="shared" si="31"/>
        <v>103.19069999999999</v>
      </c>
      <c r="R110" s="27"/>
    </row>
    <row r="111" spans="1:18">
      <c r="A111" s="176"/>
      <c r="B111" s="307"/>
      <c r="C111" s="192" t="s">
        <v>13</v>
      </c>
      <c r="D111" s="86">
        <v>13.402800149338074</v>
      </c>
      <c r="E111" s="258">
        <v>826.31299999999999</v>
      </c>
      <c r="F111" s="193">
        <f t="shared" si="27"/>
        <v>839.71580014933807</v>
      </c>
      <c r="G111" s="252">
        <v>635.50199999999995</v>
      </c>
      <c r="H111" s="252">
        <v>56470.563000000002</v>
      </c>
      <c r="I111" s="179"/>
      <c r="J111" s="193">
        <f t="shared" si="29"/>
        <v>56470.563000000002</v>
      </c>
      <c r="K111" s="252">
        <v>7820.6840000000002</v>
      </c>
      <c r="L111" s="54">
        <v>327.08999999999997</v>
      </c>
      <c r="M111" s="54"/>
      <c r="N111" s="54">
        <v>23.995000000000001</v>
      </c>
      <c r="O111" s="54"/>
      <c r="P111" s="54"/>
      <c r="Q111" s="180">
        <f t="shared" si="31"/>
        <v>66117.549800149325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82">
        <v>5.8999999999999999E-3</v>
      </c>
      <c r="E112" s="257">
        <v>0.35730000000000001</v>
      </c>
      <c r="F112" s="191">
        <f t="shared" si="27"/>
        <v>0.36320000000000002</v>
      </c>
      <c r="G112" s="249">
        <v>2.1299999999999999E-2</v>
      </c>
      <c r="H112" s="249">
        <v>6.8547000000000002</v>
      </c>
      <c r="I112" s="174"/>
      <c r="J112" s="191">
        <f t="shared" si="29"/>
        <v>6.8547000000000002</v>
      </c>
      <c r="K112" s="249"/>
      <c r="L112" s="33">
        <v>4.5999999999999999E-3</v>
      </c>
      <c r="M112" s="33"/>
      <c r="N112" s="33"/>
      <c r="O112" s="33"/>
      <c r="P112" s="33">
        <v>0.80479999999999996</v>
      </c>
      <c r="Q112" s="175">
        <f t="shared" si="31"/>
        <v>8.0486000000000004</v>
      </c>
      <c r="R112" s="27"/>
    </row>
    <row r="113" spans="1:18">
      <c r="A113" s="176"/>
      <c r="B113" s="307"/>
      <c r="C113" s="192" t="s">
        <v>13</v>
      </c>
      <c r="D113" s="89">
        <v>38.232000425992567</v>
      </c>
      <c r="E113" s="258">
        <v>760.76300000000003</v>
      </c>
      <c r="F113" s="193">
        <f t="shared" si="27"/>
        <v>798.99500042599266</v>
      </c>
      <c r="G113" s="252">
        <v>45.015999999999998</v>
      </c>
      <c r="H113" s="252">
        <v>17124.166000000001</v>
      </c>
      <c r="I113" s="179"/>
      <c r="J113" s="193">
        <f t="shared" si="29"/>
        <v>17124.166000000001</v>
      </c>
      <c r="K113" s="252"/>
      <c r="L113" s="54">
        <v>3.121</v>
      </c>
      <c r="M113" s="54"/>
      <c r="N113" s="54"/>
      <c r="O113" s="54"/>
      <c r="P113" s="54">
        <f>1131.53*1.08</f>
        <v>1222.0524</v>
      </c>
      <c r="Q113" s="180">
        <f t="shared" si="31"/>
        <v>19193.350400425992</v>
      </c>
      <c r="R113" s="27"/>
    </row>
    <row r="114" spans="1:18">
      <c r="A114" s="176"/>
      <c r="B114" s="306" t="s">
        <v>78</v>
      </c>
      <c r="C114" s="32" t="s">
        <v>11</v>
      </c>
      <c r="D114" s="80">
        <v>1.0931999999999999</v>
      </c>
      <c r="E114" s="262">
        <v>1.0698000000000001</v>
      </c>
      <c r="F114" s="191">
        <f t="shared" si="27"/>
        <v>2.1630000000000003</v>
      </c>
      <c r="G114" s="249">
        <v>0.91849999999999998</v>
      </c>
      <c r="H114" s="249">
        <v>2.0897999999999999</v>
      </c>
      <c r="I114" s="174"/>
      <c r="J114" s="191">
        <f t="shared" si="29"/>
        <v>2.0897999999999999</v>
      </c>
      <c r="K114" s="249">
        <v>0.75049999999999994</v>
      </c>
      <c r="L114" s="33">
        <v>2.1137999999999999</v>
      </c>
      <c r="M114" s="33">
        <v>6.3500000000000001E-2</v>
      </c>
      <c r="N114" s="33">
        <v>1.4301999999999999</v>
      </c>
      <c r="O114" s="33">
        <v>0.19639999999999999</v>
      </c>
      <c r="P114" s="33">
        <v>6.4932999999999996</v>
      </c>
      <c r="Q114" s="175">
        <f t="shared" si="31"/>
        <v>16.219000000000001</v>
      </c>
      <c r="R114" s="27"/>
    </row>
    <row r="115" spans="1:18">
      <c r="A115" s="176"/>
      <c r="B115" s="307"/>
      <c r="C115" s="192" t="s">
        <v>13</v>
      </c>
      <c r="D115" s="86">
        <v>1013.1966112893446</v>
      </c>
      <c r="E115" s="258">
        <v>750.63199999999995</v>
      </c>
      <c r="F115" s="193">
        <f t="shared" si="27"/>
        <v>1763.8286112893445</v>
      </c>
      <c r="G115" s="252">
        <v>831.83100000000002</v>
      </c>
      <c r="H115" s="252">
        <v>2406.7379999999998</v>
      </c>
      <c r="I115" s="179"/>
      <c r="J115" s="193">
        <f t="shared" si="29"/>
        <v>2406.7379999999998</v>
      </c>
      <c r="K115" s="252">
        <v>493.82499999999999</v>
      </c>
      <c r="L115" s="54">
        <v>672.67200000000003</v>
      </c>
      <c r="M115" s="54">
        <f>31.509*1.08</f>
        <v>34.029720000000005</v>
      </c>
      <c r="N115" s="54">
        <v>1257.999</v>
      </c>
      <c r="O115" s="54">
        <v>228.89599999999999</v>
      </c>
      <c r="P115" s="54">
        <f>4932.61*1.08</f>
        <v>5327.2187999999996</v>
      </c>
      <c r="Q115" s="180">
        <f t="shared" si="31"/>
        <v>13017.038131289344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82"/>
      <c r="E116" s="257"/>
      <c r="F116" s="191">
        <f t="shared" si="27"/>
        <v>0</v>
      </c>
      <c r="G116" s="249"/>
      <c r="H116" s="249"/>
      <c r="I116" s="174"/>
      <c r="J116" s="191">
        <f t="shared" si="29"/>
        <v>0</v>
      </c>
      <c r="K116" s="249">
        <v>194.43</v>
      </c>
      <c r="L116" s="33"/>
      <c r="M116" s="33"/>
      <c r="N116" s="33"/>
      <c r="O116" s="33"/>
      <c r="P116" s="33"/>
      <c r="Q116" s="175">
        <f t="shared" si="31"/>
        <v>194.43</v>
      </c>
      <c r="R116" s="27"/>
    </row>
    <row r="117" spans="1:18">
      <c r="A117" s="176"/>
      <c r="B117" s="307"/>
      <c r="C117" s="192" t="s">
        <v>13</v>
      </c>
      <c r="D117" s="90"/>
      <c r="E117" s="258"/>
      <c r="F117" s="193">
        <f t="shared" si="27"/>
        <v>0</v>
      </c>
      <c r="G117" s="252"/>
      <c r="H117" s="252"/>
      <c r="I117" s="179"/>
      <c r="J117" s="193">
        <f t="shared" si="29"/>
        <v>0</v>
      </c>
      <c r="K117" s="252">
        <v>15972.876</v>
      </c>
      <c r="L117" s="54"/>
      <c r="M117" s="54"/>
      <c r="N117" s="54"/>
      <c r="O117" s="54"/>
      <c r="P117" s="54"/>
      <c r="Q117" s="180">
        <f t="shared" si="31"/>
        <v>15972.876</v>
      </c>
      <c r="R117" s="27"/>
    </row>
    <row r="118" spans="1:18">
      <c r="A118" s="176"/>
      <c r="B118" s="306" t="s">
        <v>81</v>
      </c>
      <c r="C118" s="32" t="s">
        <v>11</v>
      </c>
      <c r="D118" s="82">
        <v>5.0000000000000001E-3</v>
      </c>
      <c r="E118" s="257">
        <v>2.7799999999999998E-2</v>
      </c>
      <c r="F118" s="191">
        <f t="shared" si="27"/>
        <v>3.2799999999999996E-2</v>
      </c>
      <c r="G118" s="249"/>
      <c r="H118" s="249"/>
      <c r="I118" s="174"/>
      <c r="J118" s="191">
        <f t="shared" si="29"/>
        <v>0</v>
      </c>
      <c r="K118" s="249"/>
      <c r="L118" s="33"/>
      <c r="M118" s="33"/>
      <c r="N118" s="33"/>
      <c r="O118" s="33"/>
      <c r="P118" s="33"/>
      <c r="Q118" s="175">
        <f t="shared" si="31"/>
        <v>3.2799999999999996E-2</v>
      </c>
      <c r="R118" s="27"/>
    </row>
    <row r="119" spans="1:18">
      <c r="A119" s="176"/>
      <c r="B119" s="307"/>
      <c r="C119" s="192" t="s">
        <v>13</v>
      </c>
      <c r="D119" s="81">
        <v>2.1600000240673767</v>
      </c>
      <c r="E119" s="258">
        <v>35.768999999999998</v>
      </c>
      <c r="F119" s="193">
        <f t="shared" si="27"/>
        <v>37.929000024067378</v>
      </c>
      <c r="G119" s="252"/>
      <c r="H119" s="252"/>
      <c r="I119" s="179"/>
      <c r="J119" s="193">
        <f t="shared" si="29"/>
        <v>0</v>
      </c>
      <c r="K119" s="252"/>
      <c r="L119" s="54"/>
      <c r="M119" s="54"/>
      <c r="N119" s="54"/>
      <c r="O119" s="54"/>
      <c r="P119" s="54"/>
      <c r="Q119" s="180">
        <f t="shared" si="31"/>
        <v>37.929000024067378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85">
        <v>1.4570000000000001</v>
      </c>
      <c r="E120" s="257">
        <v>1.056</v>
      </c>
      <c r="F120" s="191">
        <f t="shared" si="27"/>
        <v>2.5129999999999999</v>
      </c>
      <c r="G120" s="249">
        <v>5.5800000000000002E-2</v>
      </c>
      <c r="H120" s="249">
        <v>0.1507</v>
      </c>
      <c r="I120" s="174"/>
      <c r="J120" s="191">
        <f t="shared" si="29"/>
        <v>0.1507</v>
      </c>
      <c r="K120" s="249">
        <v>0.03</v>
      </c>
      <c r="L120" s="33"/>
      <c r="M120" s="33"/>
      <c r="N120" s="33"/>
      <c r="O120" s="33"/>
      <c r="P120" s="33"/>
      <c r="Q120" s="175">
        <f t="shared" si="31"/>
        <v>2.7494999999999998</v>
      </c>
      <c r="R120" s="27"/>
    </row>
    <row r="121" spans="1:18">
      <c r="A121" s="176"/>
      <c r="B121" s="307"/>
      <c r="C121" s="192" t="s">
        <v>13</v>
      </c>
      <c r="D121" s="86">
        <v>531.46800592177806</v>
      </c>
      <c r="E121" s="258">
        <v>456.19200000000001</v>
      </c>
      <c r="F121" s="193">
        <f t="shared" si="27"/>
        <v>987.66000592177807</v>
      </c>
      <c r="G121" s="252">
        <v>70.602000000000004</v>
      </c>
      <c r="H121" s="252">
        <v>86.497</v>
      </c>
      <c r="I121" s="179"/>
      <c r="J121" s="193">
        <f t="shared" si="29"/>
        <v>86.497</v>
      </c>
      <c r="K121" s="252">
        <v>2.16</v>
      </c>
      <c r="L121" s="54"/>
      <c r="M121" s="54"/>
      <c r="N121" s="54"/>
      <c r="O121" s="54"/>
      <c r="P121" s="59"/>
      <c r="Q121" s="180">
        <f t="shared" si="31"/>
        <v>1146.9190059217783</v>
      </c>
      <c r="R121" s="27"/>
    </row>
    <row r="122" spans="1:18">
      <c r="A122" s="176"/>
      <c r="B122" s="306" t="s">
        <v>84</v>
      </c>
      <c r="C122" s="32" t="s">
        <v>11</v>
      </c>
      <c r="D122" s="85">
        <v>6.1448999999999998</v>
      </c>
      <c r="E122" s="257">
        <v>0.50690000000000002</v>
      </c>
      <c r="F122" s="191">
        <f t="shared" si="27"/>
        <v>6.6517999999999997</v>
      </c>
      <c r="G122" s="249">
        <v>3.6082999999999998</v>
      </c>
      <c r="H122" s="249">
        <v>6.4275000000000002</v>
      </c>
      <c r="I122" s="174"/>
      <c r="J122" s="191">
        <f t="shared" si="29"/>
        <v>6.4275000000000002</v>
      </c>
      <c r="K122" s="249">
        <v>0.13500000000000001</v>
      </c>
      <c r="L122" s="33">
        <v>3.5495000000000001</v>
      </c>
      <c r="M122" s="33">
        <v>5.8882000000000003</v>
      </c>
      <c r="N122" s="33">
        <v>6.7599999999999993E-2</v>
      </c>
      <c r="O122" s="33"/>
      <c r="P122" s="33">
        <v>0.1135</v>
      </c>
      <c r="Q122" s="175">
        <f t="shared" si="31"/>
        <v>26.441400000000002</v>
      </c>
      <c r="R122" s="27"/>
    </row>
    <row r="123" spans="1:18">
      <c r="A123" s="176"/>
      <c r="B123" s="307"/>
      <c r="C123" s="192" t="s">
        <v>13</v>
      </c>
      <c r="D123" s="86">
        <v>3783.5586421575604</v>
      </c>
      <c r="E123" s="258">
        <v>437.79399999999998</v>
      </c>
      <c r="F123" s="193">
        <f t="shared" si="27"/>
        <v>4221.3526421575607</v>
      </c>
      <c r="G123" s="252">
        <v>3605.5810000000001</v>
      </c>
      <c r="H123" s="252">
        <v>4154.0259999999998</v>
      </c>
      <c r="I123" s="179"/>
      <c r="J123" s="193">
        <f t="shared" si="29"/>
        <v>4154.0259999999998</v>
      </c>
      <c r="K123" s="252">
        <v>94.77</v>
      </c>
      <c r="L123" s="54">
        <v>2456.828</v>
      </c>
      <c r="M123" s="54">
        <f>10281.873*1.08</f>
        <v>11104.422840000001</v>
      </c>
      <c r="N123" s="54">
        <v>265.99200000000002</v>
      </c>
      <c r="O123" s="54"/>
      <c r="P123" s="54">
        <f>61.075*1.08</f>
        <v>65.961000000000013</v>
      </c>
      <c r="Q123" s="180">
        <f t="shared" si="31"/>
        <v>25968.933482157558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85">
        <v>2.0821999999999998</v>
      </c>
      <c r="E124" s="257">
        <v>0.76880000000000004</v>
      </c>
      <c r="F124" s="191">
        <f t="shared" si="27"/>
        <v>2.851</v>
      </c>
      <c r="G124" s="249">
        <v>0.24049999999999999</v>
      </c>
      <c r="H124" s="249">
        <v>2.6827999999999999</v>
      </c>
      <c r="I124" s="174"/>
      <c r="J124" s="191">
        <f t="shared" si="29"/>
        <v>2.6827999999999999</v>
      </c>
      <c r="K124" s="249">
        <v>0.44500000000000001</v>
      </c>
      <c r="L124" s="33">
        <v>0.60860000000000003</v>
      </c>
      <c r="M124" s="33">
        <v>5.4999999999999997E-3</v>
      </c>
      <c r="N124" s="33">
        <v>7.1000000000000004E-3</v>
      </c>
      <c r="O124" s="33"/>
      <c r="P124" s="33">
        <v>3.3855</v>
      </c>
      <c r="Q124" s="175">
        <f t="shared" si="31"/>
        <v>10.226000000000001</v>
      </c>
      <c r="R124" s="27"/>
    </row>
    <row r="125" spans="1:18">
      <c r="A125" s="27"/>
      <c r="B125" s="307"/>
      <c r="C125" s="192" t="s">
        <v>13</v>
      </c>
      <c r="D125" s="84">
        <v>2533.496428228987</v>
      </c>
      <c r="E125" s="258">
        <v>411.77699999999999</v>
      </c>
      <c r="F125" s="193">
        <f t="shared" si="27"/>
        <v>2945.2734282289871</v>
      </c>
      <c r="G125" s="252">
        <v>200.535</v>
      </c>
      <c r="H125" s="252">
        <v>7597.6040000000003</v>
      </c>
      <c r="I125" s="179"/>
      <c r="J125" s="193">
        <f t="shared" si="29"/>
        <v>7597.6040000000003</v>
      </c>
      <c r="K125" s="252">
        <v>246.62200000000001</v>
      </c>
      <c r="L125" s="54">
        <v>500.63900000000001</v>
      </c>
      <c r="M125" s="54">
        <f>3.319*1.08</f>
        <v>3.5845200000000004</v>
      </c>
      <c r="N125" s="54">
        <v>2.117</v>
      </c>
      <c r="O125" s="54"/>
      <c r="P125" s="54">
        <f>24137.888*1.08</f>
        <v>26068.919040000001</v>
      </c>
      <c r="Q125" s="180">
        <f t="shared" si="31"/>
        <v>37565.293988228987</v>
      </c>
      <c r="R125" s="27"/>
    </row>
    <row r="126" spans="1:18">
      <c r="A126" s="27"/>
      <c r="B126" s="46" t="s">
        <v>15</v>
      </c>
      <c r="C126" s="32" t="s">
        <v>11</v>
      </c>
      <c r="D126" s="85">
        <v>5.3811999999999998</v>
      </c>
      <c r="E126" s="257">
        <v>0.18740000000000001</v>
      </c>
      <c r="F126" s="191">
        <f t="shared" si="27"/>
        <v>5.5686</v>
      </c>
      <c r="G126" s="249">
        <v>27.665500000000002</v>
      </c>
      <c r="H126" s="249">
        <v>17.760100000000001</v>
      </c>
      <c r="I126" s="174"/>
      <c r="J126" s="191">
        <f t="shared" si="29"/>
        <v>17.760100000000001</v>
      </c>
      <c r="K126" s="249">
        <v>1.431</v>
      </c>
      <c r="L126" s="33">
        <v>27.967500000000001</v>
      </c>
      <c r="M126" s="33"/>
      <c r="N126" s="33"/>
      <c r="O126" s="33"/>
      <c r="P126" s="33">
        <v>0.83050000000000002</v>
      </c>
      <c r="Q126" s="175">
        <f t="shared" si="31"/>
        <v>81.223199999999991</v>
      </c>
      <c r="R126" s="27"/>
    </row>
    <row r="127" spans="1:18">
      <c r="A127" s="27"/>
      <c r="B127" s="177" t="s">
        <v>86</v>
      </c>
      <c r="C127" s="192" t="s">
        <v>13</v>
      </c>
      <c r="D127" s="86">
        <v>2359.6542262919843</v>
      </c>
      <c r="E127" s="258">
        <v>389.12400000000002</v>
      </c>
      <c r="F127" s="193">
        <f t="shared" si="27"/>
        <v>2748.7782262919845</v>
      </c>
      <c r="G127" s="252">
        <v>4693.0569999999998</v>
      </c>
      <c r="H127" s="252">
        <v>7352.8019999999997</v>
      </c>
      <c r="I127" s="179"/>
      <c r="J127" s="193">
        <f t="shared" si="29"/>
        <v>7352.8019999999997</v>
      </c>
      <c r="K127" s="252">
        <v>231.541</v>
      </c>
      <c r="L127" s="54">
        <v>3680.337</v>
      </c>
      <c r="M127" s="54"/>
      <c r="N127" s="54"/>
      <c r="O127" s="54"/>
      <c r="P127" s="54">
        <f>1245.75*1.08</f>
        <v>1345.41</v>
      </c>
      <c r="Q127" s="180">
        <f t="shared" si="31"/>
        <v>20051.925226291984</v>
      </c>
      <c r="R127" s="27"/>
    </row>
    <row r="128" spans="1:18">
      <c r="A128" s="27"/>
      <c r="B128" s="308" t="s">
        <v>19</v>
      </c>
      <c r="C128" s="32" t="s">
        <v>11</v>
      </c>
      <c r="D128" s="49">
        <f t="shared" ref="D128:D129" si="40">D106+D108+D110+D112+D114+D116+D118+D120+D122+D124+D126</f>
        <v>17.665500000000002</v>
      </c>
      <c r="E128" s="33">
        <f t="shared" ref="E128:E129" si="41">+E106+E108+E110+E112+E114+E116+E118+E120+E122+E124+E126</f>
        <v>6.0224000000000002</v>
      </c>
      <c r="F128" s="191">
        <f t="shared" si="27"/>
        <v>23.687900000000003</v>
      </c>
      <c r="G128" s="49">
        <f t="shared" ref="G128:H129" si="42">+G106+G108+G110+G112+G114+G116+G118+G120+G122+G124+G126</f>
        <v>38.214600000000004</v>
      </c>
      <c r="H128" s="49">
        <f t="shared" si="42"/>
        <v>155.25599999999997</v>
      </c>
      <c r="I128" s="50"/>
      <c r="J128" s="191">
        <f t="shared" si="29"/>
        <v>155.25599999999997</v>
      </c>
      <c r="K128" s="49">
        <f t="shared" ref="K128:M129" si="43">+K106+K108+K110+K112+K114+K116+K118+K120+K122+K124+K126</f>
        <v>213.24270000000001</v>
      </c>
      <c r="L128" s="33">
        <f t="shared" si="43"/>
        <v>40.635300000000001</v>
      </c>
      <c r="M128" s="33">
        <f>+M106+M108+M110+M112+M114+M116+M118+M120+M122+M124+M126</f>
        <v>5.9572000000000003</v>
      </c>
      <c r="N128" s="33">
        <f t="shared" ref="N128:P129" si="44">+N106+N108+N110+N112+N114+N116+N118+N120+N122+N124+N126</f>
        <v>1.9823999999999999</v>
      </c>
      <c r="O128" s="33">
        <f t="shared" si="44"/>
        <v>2.3712</v>
      </c>
      <c r="P128" s="33">
        <f t="shared" si="44"/>
        <v>12.3657</v>
      </c>
      <c r="Q128" s="175">
        <f t="shared" si="31"/>
        <v>493.71300000000002</v>
      </c>
      <c r="R128" s="27"/>
    </row>
    <row r="129" spans="1:18">
      <c r="A129" s="183"/>
      <c r="B129" s="309"/>
      <c r="C129" s="192" t="s">
        <v>13</v>
      </c>
      <c r="D129" s="68">
        <f t="shared" si="40"/>
        <v>11371.411926703728</v>
      </c>
      <c r="E129" s="54">
        <f t="shared" si="41"/>
        <v>4922.1790000000001</v>
      </c>
      <c r="F129" s="193">
        <f t="shared" si="27"/>
        <v>16293.590926703728</v>
      </c>
      <c r="G129" s="68">
        <f t="shared" si="42"/>
        <v>13770.498</v>
      </c>
      <c r="H129" s="68">
        <f t="shared" si="42"/>
        <v>113678.107</v>
      </c>
      <c r="I129" s="63"/>
      <c r="J129" s="193">
        <f t="shared" si="29"/>
        <v>113678.107</v>
      </c>
      <c r="K129" s="68">
        <f t="shared" si="43"/>
        <v>27209.942000000003</v>
      </c>
      <c r="L129" s="54">
        <f t="shared" si="43"/>
        <v>11400.452000000001</v>
      </c>
      <c r="M129" s="54">
        <f t="shared" si="43"/>
        <v>11142.037080000002</v>
      </c>
      <c r="N129" s="54">
        <f t="shared" si="44"/>
        <v>1665.8019999999999</v>
      </c>
      <c r="O129" s="54">
        <f t="shared" si="44"/>
        <v>1871.7090000000001</v>
      </c>
      <c r="P129" s="54">
        <f t="shared" si="44"/>
        <v>34441.354440000003</v>
      </c>
      <c r="Q129" s="180">
        <f t="shared" si="31"/>
        <v>231473.49244670375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82"/>
      <c r="E130" s="257"/>
      <c r="F130" s="191">
        <f t="shared" si="27"/>
        <v>0</v>
      </c>
      <c r="G130" s="249">
        <v>0</v>
      </c>
      <c r="H130" s="249"/>
      <c r="I130" s="174"/>
      <c r="J130" s="191">
        <f t="shared" si="29"/>
        <v>0</v>
      </c>
      <c r="K130" s="249"/>
      <c r="L130" s="33">
        <v>6.4999999999999997E-3</v>
      </c>
      <c r="M130" s="33"/>
      <c r="N130" s="33"/>
      <c r="O130" s="33"/>
      <c r="P130" s="33"/>
      <c r="Q130" s="175">
        <f t="shared" si="31"/>
        <v>6.4999999999999997E-3</v>
      </c>
      <c r="R130" s="27"/>
    </row>
    <row r="131" spans="1:18">
      <c r="A131" s="172" t="s">
        <v>0</v>
      </c>
      <c r="B131" s="307"/>
      <c r="C131" s="192" t="s">
        <v>13</v>
      </c>
      <c r="D131" s="81"/>
      <c r="E131" s="258"/>
      <c r="F131" s="193">
        <f t="shared" si="27"/>
        <v>0</v>
      </c>
      <c r="G131" s="252">
        <v>17.895</v>
      </c>
      <c r="H131" s="252"/>
      <c r="I131" s="179"/>
      <c r="J131" s="193">
        <f t="shared" si="29"/>
        <v>0</v>
      </c>
      <c r="K131" s="252"/>
      <c r="L131" s="54">
        <v>1.4039999999999999</v>
      </c>
      <c r="M131" s="54"/>
      <c r="N131" s="54"/>
      <c r="O131" s="54"/>
      <c r="P131" s="54"/>
      <c r="Q131" s="180">
        <f t="shared" si="31"/>
        <v>19.298999999999999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82"/>
      <c r="E132" s="257"/>
      <c r="F132" s="191">
        <f t="shared" si="27"/>
        <v>0</v>
      </c>
      <c r="G132" s="249">
        <v>2.5375000000000001</v>
      </c>
      <c r="H132" s="249"/>
      <c r="I132" s="174"/>
      <c r="J132" s="191">
        <f t="shared" si="29"/>
        <v>0</v>
      </c>
      <c r="K132" s="249"/>
      <c r="L132" s="33"/>
      <c r="M132" s="33"/>
      <c r="N132" s="33"/>
      <c r="O132" s="33"/>
      <c r="P132" s="33"/>
      <c r="Q132" s="175">
        <f t="shared" si="31"/>
        <v>2.5375000000000001</v>
      </c>
      <c r="R132" s="27"/>
    </row>
    <row r="133" spans="1:18">
      <c r="A133" s="176"/>
      <c r="B133" s="307"/>
      <c r="C133" s="192" t="s">
        <v>13</v>
      </c>
      <c r="D133" s="81"/>
      <c r="E133" s="258"/>
      <c r="F133" s="193">
        <f t="shared" si="27"/>
        <v>0</v>
      </c>
      <c r="G133" s="252">
        <v>686.79100000000005</v>
      </c>
      <c r="H133" s="252"/>
      <c r="I133" s="179"/>
      <c r="J133" s="193">
        <f t="shared" si="29"/>
        <v>0</v>
      </c>
      <c r="K133" s="252"/>
      <c r="L133" s="54"/>
      <c r="M133" s="54"/>
      <c r="N133" s="54"/>
      <c r="O133" s="54"/>
      <c r="P133" s="54"/>
      <c r="Q133" s="197">
        <f t="shared" si="31"/>
        <v>686.79100000000005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21"/>
      <c r="E134" s="263"/>
      <c r="F134" s="199">
        <f t="shared" ref="F134:F142" si="45">SUM(D134:E134)</f>
        <v>0</v>
      </c>
      <c r="G134" s="264">
        <v>0.37609999999999999</v>
      </c>
      <c r="H134" s="264">
        <v>0.1196</v>
      </c>
      <c r="I134" s="200"/>
      <c r="J134" s="199">
        <f t="shared" ref="J134:J142" si="46">SUM(H134:I134)</f>
        <v>0.1196</v>
      </c>
      <c r="K134" s="264"/>
      <c r="L134" s="93">
        <v>112.11</v>
      </c>
      <c r="M134" s="93"/>
      <c r="N134" s="93"/>
      <c r="O134" s="93"/>
      <c r="P134" s="93"/>
      <c r="Q134" s="175">
        <f t="shared" si="31"/>
        <v>112.6057</v>
      </c>
      <c r="R134" s="27"/>
    </row>
    <row r="135" spans="1:18">
      <c r="A135" s="176"/>
      <c r="B135" s="46" t="s">
        <v>91</v>
      </c>
      <c r="C135" s="32" t="s">
        <v>92</v>
      </c>
      <c r="D135" s="82"/>
      <c r="E135" s="257"/>
      <c r="F135" s="201">
        <f t="shared" si="45"/>
        <v>0</v>
      </c>
      <c r="G135" s="249"/>
      <c r="H135" s="249"/>
      <c r="I135" s="174"/>
      <c r="J135" s="201">
        <f t="shared" si="46"/>
        <v>0</v>
      </c>
      <c r="K135" s="249"/>
      <c r="L135" s="33"/>
      <c r="M135" s="159"/>
      <c r="N135" s="161"/>
      <c r="O135" s="33"/>
      <c r="P135" s="161"/>
      <c r="Q135" s="175">
        <f t="shared" si="31"/>
        <v>0</v>
      </c>
      <c r="R135" s="27"/>
    </row>
    <row r="136" spans="1:18">
      <c r="A136" s="176" t="s">
        <v>18</v>
      </c>
      <c r="B136" s="54"/>
      <c r="C136" s="192" t="s">
        <v>13</v>
      </c>
      <c r="D136" s="91"/>
      <c r="E136" s="261"/>
      <c r="F136" s="202">
        <f t="shared" si="45"/>
        <v>0</v>
      </c>
      <c r="G136" s="252">
        <v>289.87400000000002</v>
      </c>
      <c r="H136" s="254">
        <v>261.83499999999998</v>
      </c>
      <c r="I136" s="179"/>
      <c r="J136" s="202">
        <f t="shared" si="46"/>
        <v>261.83499999999998</v>
      </c>
      <c r="K136" s="252"/>
      <c r="L136" s="59">
        <v>1210.788</v>
      </c>
      <c r="M136" s="92"/>
      <c r="N136" s="54"/>
      <c r="O136" s="54"/>
      <c r="P136" s="54"/>
      <c r="Q136" s="197">
        <f t="shared" si="31"/>
        <v>1762.4970000000001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45"/>
        <v>0</v>
      </c>
      <c r="G137" s="49">
        <f t="shared" ref="G137" si="47">G130+G132+G134</f>
        <v>2.9136000000000002</v>
      </c>
      <c r="H137" s="49">
        <f>+H130+H132+H134</f>
        <v>0.1196</v>
      </c>
      <c r="I137" s="47"/>
      <c r="J137" s="199">
        <f t="shared" si="46"/>
        <v>0.1196</v>
      </c>
      <c r="K137" s="182"/>
      <c r="L137" s="33">
        <f t="shared" ref="L137" si="48">+L130+L132+L134</f>
        <v>112.1165</v>
      </c>
      <c r="M137" s="97"/>
      <c r="N137" s="160"/>
      <c r="O137" s="93"/>
      <c r="P137" s="93"/>
      <c r="Q137" s="175">
        <f t="shared" si="31"/>
        <v>115.1497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45"/>
        <v>0</v>
      </c>
      <c r="G138" s="98"/>
      <c r="H138" s="49"/>
      <c r="I138" s="50"/>
      <c r="J138" s="201">
        <f t="shared" si="46"/>
        <v>0</v>
      </c>
      <c r="K138" s="49"/>
      <c r="L138" s="33"/>
      <c r="M138" s="69"/>
      <c r="N138" s="69"/>
      <c r="O138" s="33"/>
      <c r="P138" s="33"/>
      <c r="Q138" s="175">
        <f t="shared" si="31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45"/>
        <v>0</v>
      </c>
      <c r="G139" s="68">
        <f t="shared" ref="G139" si="49">G131+G133+G136</f>
        <v>994.56000000000006</v>
      </c>
      <c r="H139" s="68">
        <f>+H131+H133+H136</f>
        <v>261.83499999999998</v>
      </c>
      <c r="I139" s="63"/>
      <c r="J139" s="202">
        <f t="shared" si="46"/>
        <v>261.83499999999998</v>
      </c>
      <c r="K139" s="68"/>
      <c r="L139" s="54">
        <f t="shared" ref="L139" si="50">+L131+L133+L136</f>
        <v>1212.192</v>
      </c>
      <c r="M139" s="70"/>
      <c r="N139" s="70"/>
      <c r="O139" s="54"/>
      <c r="P139" s="54"/>
      <c r="Q139" s="197">
        <f t="shared" si="31"/>
        <v>2468.587</v>
      </c>
      <c r="R139" s="27"/>
    </row>
    <row r="140" spans="1:18">
      <c r="A140" s="27"/>
      <c r="B140" s="28" t="s">
        <v>0</v>
      </c>
      <c r="C140" s="29" t="s">
        <v>11</v>
      </c>
      <c r="D140" s="122">
        <f>D137+D128+D104</f>
        <v>268.39645000000007</v>
      </c>
      <c r="E140" s="265">
        <f>E137+E128+E104</f>
        <v>802.28449999999987</v>
      </c>
      <c r="F140" s="199">
        <f t="shared" si="45"/>
        <v>1070.6809499999999</v>
      </c>
      <c r="G140" s="105">
        <f t="shared" ref="G140" si="51">G137+G128+G104</f>
        <v>1346.2453000000003</v>
      </c>
      <c r="H140" s="150">
        <f>H137+H128+H104</f>
        <v>7171.8590999999997</v>
      </c>
      <c r="I140" s="57"/>
      <c r="J140" s="199">
        <f t="shared" si="46"/>
        <v>7171.8590999999997</v>
      </c>
      <c r="K140" s="150">
        <f t="shared" ref="K140:P140" si="52">K137+K128+K104</f>
        <v>2066.2442999999998</v>
      </c>
      <c r="L140" s="93">
        <f t="shared" si="52"/>
        <v>485.82365000000004</v>
      </c>
      <c r="M140" s="97">
        <f t="shared" si="52"/>
        <v>6.2223000000000006</v>
      </c>
      <c r="N140" s="97">
        <f t="shared" si="52"/>
        <v>91.373499999999993</v>
      </c>
      <c r="O140" s="93">
        <f t="shared" si="52"/>
        <v>12.135699999999998</v>
      </c>
      <c r="P140" s="93">
        <f t="shared" si="52"/>
        <v>34.206159999999997</v>
      </c>
      <c r="Q140" s="175">
        <f t="shared" si="31"/>
        <v>12284.79096</v>
      </c>
      <c r="R140" s="27"/>
    </row>
    <row r="141" spans="1:18">
      <c r="A141" s="27"/>
      <c r="B141" s="31" t="s">
        <v>93</v>
      </c>
      <c r="C141" s="32" t="s">
        <v>92</v>
      </c>
      <c r="D141" s="123"/>
      <c r="E141" s="266"/>
      <c r="F141" s="201">
        <f t="shared" si="45"/>
        <v>0</v>
      </c>
      <c r="G141" s="106"/>
      <c r="H141" s="106"/>
      <c r="I141" s="206"/>
      <c r="J141" s="201">
        <f t="shared" si="46"/>
        <v>0</v>
      </c>
      <c r="K141" s="106"/>
      <c r="L141" s="33"/>
      <c r="M141" s="69"/>
      <c r="N141" s="69"/>
      <c r="O141" s="33"/>
      <c r="P141" s="33"/>
      <c r="Q141" s="175">
        <f t="shared" ref="Q141:Q142" si="53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24">
        <f t="shared" ref="D142" si="54">D139+D129+D105</f>
        <v>147186.79400000002</v>
      </c>
      <c r="E142" s="267">
        <f>E139+E129+E105</f>
        <v>335601.38199999998</v>
      </c>
      <c r="F142" s="207">
        <f t="shared" si="45"/>
        <v>482788.17599999998</v>
      </c>
      <c r="G142" s="143">
        <f t="shared" ref="G142" si="55">G139+G129+G105</f>
        <v>353530.35099999997</v>
      </c>
      <c r="H142" s="151">
        <f>H139+H129+H105</f>
        <v>1350670.888</v>
      </c>
      <c r="I142" s="58"/>
      <c r="J142" s="207">
        <f t="shared" si="46"/>
        <v>1350670.888</v>
      </c>
      <c r="K142" s="143">
        <f t="shared" ref="K142:P142" si="56">K139+K129+K105</f>
        <v>568745.25100000005</v>
      </c>
      <c r="L142" s="37">
        <f t="shared" si="56"/>
        <v>115573.105</v>
      </c>
      <c r="M142" s="71">
        <f t="shared" si="56"/>
        <v>11195.614800000001</v>
      </c>
      <c r="N142" s="71">
        <f t="shared" si="56"/>
        <v>41296.732000000004</v>
      </c>
      <c r="O142" s="37">
        <f t="shared" si="56"/>
        <v>8288.7090000000007</v>
      </c>
      <c r="P142" s="37">
        <f t="shared" si="56"/>
        <v>49863.273840000009</v>
      </c>
      <c r="Q142" s="187">
        <f t="shared" si="53"/>
        <v>2981952.1006399998</v>
      </c>
      <c r="R142" s="27"/>
    </row>
    <row r="143" spans="1:18">
      <c r="Q143" s="208" t="s">
        <v>94</v>
      </c>
    </row>
    <row r="145" spans="7:15">
      <c r="G145" s="268"/>
      <c r="O145" s="47"/>
    </row>
    <row r="146" spans="7:15">
      <c r="G146" s="268"/>
      <c r="M146" s="47"/>
      <c r="O146" s="47"/>
    </row>
    <row r="147" spans="7:15">
      <c r="G147" s="47"/>
      <c r="M147" s="47"/>
      <c r="O147" s="47"/>
    </row>
    <row r="148" spans="7:15">
      <c r="G148" s="47"/>
      <c r="M148" s="47"/>
    </row>
    <row r="149" spans="7:15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107</v>
      </c>
      <c r="C3" s="35"/>
      <c r="F3" s="35"/>
      <c r="I3" s="35"/>
      <c r="J3" s="35"/>
      <c r="N3" s="35"/>
    </row>
    <row r="4" spans="1:18">
      <c r="A4" s="166"/>
      <c r="B4" s="167"/>
      <c r="C4" s="22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32" t="s">
        <v>11</v>
      </c>
      <c r="D5" s="228">
        <v>7.0000000000000007E-2</v>
      </c>
      <c r="E5" s="224"/>
      <c r="F5" s="173">
        <f>SUM(D5:E5)</f>
        <v>7.0000000000000007E-2</v>
      </c>
      <c r="G5" s="144">
        <v>660.28700000000003</v>
      </c>
      <c r="H5" s="77">
        <v>2254.819</v>
      </c>
      <c r="I5" s="174"/>
      <c r="J5" s="173">
        <f>SUM(H5:I5)</f>
        <v>2254.819</v>
      </c>
      <c r="K5" s="77">
        <v>0.20799999999999999</v>
      </c>
      <c r="L5" s="33"/>
      <c r="M5" s="33"/>
      <c r="N5" s="33"/>
      <c r="O5" s="33"/>
      <c r="P5" s="33"/>
      <c r="Q5" s="175">
        <f>SUM(F5:G5,J5:P5)</f>
        <v>2915.384</v>
      </c>
      <c r="R5" s="47"/>
    </row>
    <row r="6" spans="1:18">
      <c r="A6" s="176" t="s">
        <v>12</v>
      </c>
      <c r="B6" s="307"/>
      <c r="C6" s="192" t="s">
        <v>13</v>
      </c>
      <c r="D6" s="114">
        <v>51.300001067482313</v>
      </c>
      <c r="E6" s="114"/>
      <c r="F6" s="178">
        <f>SUM(D6:E6)</f>
        <v>51.300001067482313</v>
      </c>
      <c r="G6" s="78">
        <v>81894.357999999993</v>
      </c>
      <c r="H6" s="78">
        <v>258127.36600000001</v>
      </c>
      <c r="I6" s="179"/>
      <c r="J6" s="178">
        <f>SUM(H6:I6)</f>
        <v>258127.36600000001</v>
      </c>
      <c r="K6" s="78">
        <v>9.2279999999999998</v>
      </c>
      <c r="L6" s="54"/>
      <c r="M6" s="54"/>
      <c r="N6" s="54"/>
      <c r="O6" s="54"/>
      <c r="P6" s="54"/>
      <c r="Q6" s="180">
        <f>SUM(F6:G6,J6:P6)</f>
        <v>340082.25200106751</v>
      </c>
      <c r="R6" s="47"/>
    </row>
    <row r="7" spans="1:18">
      <c r="A7" s="176" t="s">
        <v>14</v>
      </c>
      <c r="B7" s="46" t="s">
        <v>15</v>
      </c>
      <c r="C7" s="32" t="s">
        <v>11</v>
      </c>
      <c r="D7" s="229"/>
      <c r="E7" s="224">
        <v>0.34</v>
      </c>
      <c r="F7" s="181">
        <f t="shared" ref="F7:F68" si="0">SUM(D7:E7)</f>
        <v>0.34</v>
      </c>
      <c r="G7" s="77">
        <v>9.8000000000000004E-2</v>
      </c>
      <c r="H7" s="77">
        <v>751.298</v>
      </c>
      <c r="I7" s="174"/>
      <c r="J7" s="181">
        <f t="shared" ref="J7:J68" si="1">SUM(H7:I7)</f>
        <v>751.298</v>
      </c>
      <c r="K7" s="77">
        <v>136.005</v>
      </c>
      <c r="L7" s="33"/>
      <c r="M7" s="33"/>
      <c r="N7" s="33"/>
      <c r="O7" s="33"/>
      <c r="P7" s="33"/>
      <c r="Q7" s="175">
        <f t="shared" ref="Q7:Q68" si="2">SUM(F7:G7,J7:P7)</f>
        <v>887.74099999999999</v>
      </c>
      <c r="R7" s="47"/>
    </row>
    <row r="8" spans="1:18">
      <c r="A8" s="176" t="s">
        <v>16</v>
      </c>
      <c r="B8" s="177" t="s">
        <v>17</v>
      </c>
      <c r="C8" s="192" t="s">
        <v>13</v>
      </c>
      <c r="D8" s="230"/>
      <c r="E8" s="225">
        <v>152.928</v>
      </c>
      <c r="F8" s="178">
        <f t="shared" si="0"/>
        <v>152.928</v>
      </c>
      <c r="G8" s="78">
        <v>0.60799999999999998</v>
      </c>
      <c r="H8" s="78">
        <v>52055.758999999998</v>
      </c>
      <c r="I8" s="179"/>
      <c r="J8" s="178">
        <f t="shared" si="1"/>
        <v>52055.758999999998</v>
      </c>
      <c r="K8" s="103">
        <v>7724.6360000000004</v>
      </c>
      <c r="L8" s="54"/>
      <c r="M8" s="54"/>
      <c r="N8" s="54"/>
      <c r="O8" s="54"/>
      <c r="P8" s="54"/>
      <c r="Q8" s="180">
        <f t="shared" si="2"/>
        <v>59933.930999999997</v>
      </c>
      <c r="R8" s="47"/>
    </row>
    <row r="9" spans="1:18">
      <c r="A9" s="176" t="s">
        <v>18</v>
      </c>
      <c r="B9" s="308" t="s">
        <v>19</v>
      </c>
      <c r="C9" s="32" t="s">
        <v>11</v>
      </c>
      <c r="D9" s="50">
        <f>D5+D7</f>
        <v>7.0000000000000007E-2</v>
      </c>
      <c r="E9" s="33">
        <f t="shared" ref="E9:E10" si="3">+E5+E7</f>
        <v>0.34</v>
      </c>
      <c r="F9" s="181">
        <f>SUM(D9:E9)</f>
        <v>0.41000000000000003</v>
      </c>
      <c r="G9" s="49">
        <f t="shared" ref="G9:H10" si="4">+G5+G7</f>
        <v>660.38499999999999</v>
      </c>
      <c r="H9" s="49">
        <f t="shared" si="4"/>
        <v>3006.1170000000002</v>
      </c>
      <c r="I9" s="50"/>
      <c r="J9" s="181">
        <f>SUM(H9:I9)</f>
        <v>3006.1170000000002</v>
      </c>
      <c r="K9" s="49">
        <f t="shared" ref="K9:K10" si="5">+K5+K7</f>
        <v>136.21299999999999</v>
      </c>
      <c r="L9" s="33"/>
      <c r="M9" s="33"/>
      <c r="N9" s="33"/>
      <c r="O9" s="33"/>
      <c r="P9" s="33"/>
      <c r="Q9" s="175">
        <f t="shared" si="2"/>
        <v>3803.1250000000005</v>
      </c>
      <c r="R9" s="47"/>
    </row>
    <row r="10" spans="1:18">
      <c r="A10" s="183"/>
      <c r="B10" s="309"/>
      <c r="C10" s="192" t="s">
        <v>13</v>
      </c>
      <c r="D10" s="63">
        <f>D6+D8</f>
        <v>51.300001067482313</v>
      </c>
      <c r="E10" s="54">
        <f t="shared" si="3"/>
        <v>152.928</v>
      </c>
      <c r="F10" s="178">
        <f t="shared" si="0"/>
        <v>204.2280010674823</v>
      </c>
      <c r="G10" s="68">
        <f t="shared" si="4"/>
        <v>81894.965999999986</v>
      </c>
      <c r="H10" s="68">
        <f t="shared" si="4"/>
        <v>310183.125</v>
      </c>
      <c r="I10" s="63"/>
      <c r="J10" s="178">
        <f t="shared" si="1"/>
        <v>310183.125</v>
      </c>
      <c r="K10" s="68">
        <f t="shared" si="5"/>
        <v>7733.8640000000005</v>
      </c>
      <c r="L10" s="54"/>
      <c r="M10" s="54"/>
      <c r="N10" s="54"/>
      <c r="O10" s="54"/>
      <c r="P10" s="54"/>
      <c r="Q10" s="180">
        <f t="shared" si="2"/>
        <v>400016.18300106749</v>
      </c>
      <c r="R10" s="47"/>
    </row>
    <row r="11" spans="1:18">
      <c r="A11" s="310" t="s">
        <v>20</v>
      </c>
      <c r="B11" s="311"/>
      <c r="C11" s="32" t="s">
        <v>11</v>
      </c>
      <c r="D11" s="229">
        <v>23.7164</v>
      </c>
      <c r="E11" s="224">
        <v>12.776899999999999</v>
      </c>
      <c r="F11" s="181">
        <f t="shared" si="0"/>
        <v>36.493299999999998</v>
      </c>
      <c r="G11" s="77">
        <v>1640.5342000000001</v>
      </c>
      <c r="H11" s="77">
        <v>2687.6030000000001</v>
      </c>
      <c r="I11" s="174"/>
      <c r="J11" s="181">
        <f t="shared" si="1"/>
        <v>2687.6030000000001</v>
      </c>
      <c r="K11" s="77">
        <v>481.07400000000001</v>
      </c>
      <c r="L11" s="33"/>
      <c r="M11" s="33"/>
      <c r="N11" s="33"/>
      <c r="O11" s="33"/>
      <c r="P11" s="33"/>
      <c r="Q11" s="175">
        <f t="shared" si="2"/>
        <v>4845.7044999999998</v>
      </c>
      <c r="R11" s="47"/>
    </row>
    <row r="12" spans="1:18">
      <c r="A12" s="312"/>
      <c r="B12" s="313"/>
      <c r="C12" s="192" t="s">
        <v>13</v>
      </c>
      <c r="D12" s="231">
        <v>4848.9063408990569</v>
      </c>
      <c r="E12" s="232">
        <v>2189.5149999999999</v>
      </c>
      <c r="F12" s="178">
        <f t="shared" si="0"/>
        <v>7038.4213408990563</v>
      </c>
      <c r="G12" s="78">
        <v>448283.071</v>
      </c>
      <c r="H12" s="78">
        <v>400100.071</v>
      </c>
      <c r="I12" s="179"/>
      <c r="J12" s="178">
        <f t="shared" si="1"/>
        <v>400100.071</v>
      </c>
      <c r="K12" s="78">
        <v>71577.907999999996</v>
      </c>
      <c r="L12" s="54"/>
      <c r="M12" s="54"/>
      <c r="N12" s="54"/>
      <c r="O12" s="54"/>
      <c r="P12" s="54"/>
      <c r="Q12" s="180">
        <f t="shared" si="2"/>
        <v>926999.47134089912</v>
      </c>
      <c r="R12" s="47"/>
    </row>
    <row r="13" spans="1:18">
      <c r="A13" s="27"/>
      <c r="B13" s="306" t="s">
        <v>21</v>
      </c>
      <c r="C13" s="32" t="s">
        <v>11</v>
      </c>
      <c r="D13" s="228">
        <v>168.3553</v>
      </c>
      <c r="E13" s="228">
        <v>9.8420000000000005</v>
      </c>
      <c r="F13" s="181">
        <f t="shared" si="0"/>
        <v>178.19730000000001</v>
      </c>
      <c r="G13" s="77">
        <v>8.2932000000000006</v>
      </c>
      <c r="H13" s="77">
        <v>11.962999999999999</v>
      </c>
      <c r="I13" s="174"/>
      <c r="J13" s="181">
        <f t="shared" si="1"/>
        <v>11.962999999999999</v>
      </c>
      <c r="K13" s="77">
        <v>4.4290000000000003</v>
      </c>
      <c r="L13" s="33">
        <v>0.23649999999999999</v>
      </c>
      <c r="M13" s="33"/>
      <c r="N13" s="33"/>
      <c r="O13" s="33"/>
      <c r="P13" s="33"/>
      <c r="Q13" s="175">
        <f t="shared" si="2"/>
        <v>203.11900000000003</v>
      </c>
      <c r="R13" s="47"/>
    </row>
    <row r="14" spans="1:18">
      <c r="A14" s="172" t="s">
        <v>0</v>
      </c>
      <c r="B14" s="307"/>
      <c r="C14" s="192" t="s">
        <v>13</v>
      </c>
      <c r="D14" s="231">
        <v>104135.23080691061</v>
      </c>
      <c r="E14" s="232">
        <v>23756.772000000001</v>
      </c>
      <c r="F14" s="178">
        <f t="shared" si="0"/>
        <v>127892.0028069106</v>
      </c>
      <c r="G14" s="78">
        <v>7548.1049999999996</v>
      </c>
      <c r="H14" s="78">
        <v>19016.474999999999</v>
      </c>
      <c r="I14" s="179"/>
      <c r="J14" s="178">
        <f t="shared" si="1"/>
        <v>19016.474999999999</v>
      </c>
      <c r="K14" s="78">
        <v>8384.98</v>
      </c>
      <c r="L14" s="54">
        <v>545.83199999999999</v>
      </c>
      <c r="M14" s="54"/>
      <c r="N14" s="54"/>
      <c r="O14" s="54"/>
      <c r="P14" s="54"/>
      <c r="Q14" s="180">
        <f t="shared" si="2"/>
        <v>163387.39480691063</v>
      </c>
      <c r="R14" s="47"/>
    </row>
    <row r="15" spans="1:18">
      <c r="A15" s="176" t="s">
        <v>22</v>
      </c>
      <c r="B15" s="306" t="s">
        <v>23</v>
      </c>
      <c r="C15" s="32" t="s">
        <v>11</v>
      </c>
      <c r="D15" s="228">
        <v>2.6444000000000001</v>
      </c>
      <c r="E15" s="228">
        <v>2.2233000000000001</v>
      </c>
      <c r="F15" s="181">
        <f t="shared" si="0"/>
        <v>4.8677000000000001</v>
      </c>
      <c r="G15" s="77">
        <v>14.138500000000001</v>
      </c>
      <c r="H15" s="77">
        <v>27.9694</v>
      </c>
      <c r="I15" s="174"/>
      <c r="J15" s="181">
        <f t="shared" si="1"/>
        <v>27.9694</v>
      </c>
      <c r="K15" s="77">
        <v>10.4604</v>
      </c>
      <c r="L15" s="33">
        <v>1.43E-2</v>
      </c>
      <c r="M15" s="33"/>
      <c r="N15" s="33">
        <v>4.9000000000000002E-2</v>
      </c>
      <c r="O15" s="33"/>
      <c r="P15" s="33"/>
      <c r="Q15" s="175">
        <f t="shared" si="2"/>
        <v>57.499299999999998</v>
      </c>
      <c r="R15" s="47"/>
    </row>
    <row r="16" spans="1:18">
      <c r="A16" s="176" t="s">
        <v>0</v>
      </c>
      <c r="B16" s="307"/>
      <c r="C16" s="192" t="s">
        <v>13</v>
      </c>
      <c r="D16" s="231">
        <v>857.23705783792161</v>
      </c>
      <c r="E16" s="232">
        <v>2374.9409999999998</v>
      </c>
      <c r="F16" s="178">
        <f t="shared" si="0"/>
        <v>3232.1780578379212</v>
      </c>
      <c r="G16" s="78">
        <v>7335.8609999999999</v>
      </c>
      <c r="H16" s="78">
        <v>29739.075000000001</v>
      </c>
      <c r="I16" s="179"/>
      <c r="J16" s="178">
        <f t="shared" si="1"/>
        <v>29739.075000000001</v>
      </c>
      <c r="K16" s="78">
        <v>11057.102000000001</v>
      </c>
      <c r="L16" s="54">
        <v>16.994</v>
      </c>
      <c r="M16" s="54"/>
      <c r="N16" s="54">
        <v>27.216000000000001</v>
      </c>
      <c r="O16" s="54"/>
      <c r="P16" s="54"/>
      <c r="Q16" s="180">
        <f t="shared" si="2"/>
        <v>51408.426057837918</v>
      </c>
      <c r="R16" s="47"/>
    </row>
    <row r="17" spans="1:18">
      <c r="A17" s="176" t="s">
        <v>24</v>
      </c>
      <c r="B17" s="306" t="s">
        <v>25</v>
      </c>
      <c r="C17" s="32" t="s">
        <v>11</v>
      </c>
      <c r="D17" s="228">
        <v>39.066400000000002</v>
      </c>
      <c r="E17" s="228">
        <v>18.049800000000001</v>
      </c>
      <c r="F17" s="181">
        <f t="shared" si="0"/>
        <v>57.116200000000006</v>
      </c>
      <c r="G17" s="77">
        <v>199.84620000000001</v>
      </c>
      <c r="H17" s="77">
        <v>35.610999999999997</v>
      </c>
      <c r="I17" s="174"/>
      <c r="J17" s="181">
        <f t="shared" si="1"/>
        <v>35.610999999999997</v>
      </c>
      <c r="K17" s="77">
        <v>9.4939999999999998</v>
      </c>
      <c r="L17" s="33">
        <v>0.33925</v>
      </c>
      <c r="M17" s="33"/>
      <c r="N17" s="33"/>
      <c r="O17" s="33"/>
      <c r="P17" s="33"/>
      <c r="Q17" s="175">
        <f t="shared" si="2"/>
        <v>302.40665000000001</v>
      </c>
      <c r="R17" s="47"/>
    </row>
    <row r="18" spans="1:18">
      <c r="A18" s="176"/>
      <c r="B18" s="307"/>
      <c r="C18" s="192" t="s">
        <v>13</v>
      </c>
      <c r="D18" s="231">
        <v>32883.814764266855</v>
      </c>
      <c r="E18" s="232">
        <v>21974.316999999999</v>
      </c>
      <c r="F18" s="178">
        <f t="shared" si="0"/>
        <v>54858.131764266858</v>
      </c>
      <c r="G18" s="78">
        <v>76839.807000000001</v>
      </c>
      <c r="H18" s="78">
        <v>7963.4750000000004</v>
      </c>
      <c r="I18" s="179"/>
      <c r="J18" s="178">
        <f t="shared" si="1"/>
        <v>7963.4750000000004</v>
      </c>
      <c r="K18" s="78">
        <v>2411.6860000000001</v>
      </c>
      <c r="L18" s="54">
        <v>547.29100000000005</v>
      </c>
      <c r="M18" s="54"/>
      <c r="N18" s="54"/>
      <c r="O18" s="54"/>
      <c r="P18" s="54"/>
      <c r="Q18" s="180">
        <f t="shared" si="2"/>
        <v>142620.39076426683</v>
      </c>
      <c r="R18" s="47"/>
    </row>
    <row r="19" spans="1:18">
      <c r="A19" s="176" t="s">
        <v>26</v>
      </c>
      <c r="B19" s="46" t="s">
        <v>27</v>
      </c>
      <c r="C19" s="32" t="s">
        <v>11</v>
      </c>
      <c r="D19" s="228">
        <v>13.6709</v>
      </c>
      <c r="E19" s="228">
        <v>97.480400000000003</v>
      </c>
      <c r="F19" s="181">
        <f t="shared" si="0"/>
        <v>111.15130000000001</v>
      </c>
      <c r="G19" s="77">
        <v>20.5855</v>
      </c>
      <c r="H19" s="77">
        <v>2.4049999999999998</v>
      </c>
      <c r="I19" s="174"/>
      <c r="J19" s="181">
        <f t="shared" si="1"/>
        <v>2.4049999999999998</v>
      </c>
      <c r="K19" s="77">
        <v>0.25</v>
      </c>
      <c r="L19" s="33"/>
      <c r="M19" s="33"/>
      <c r="N19" s="33"/>
      <c r="O19" s="33"/>
      <c r="P19" s="33"/>
      <c r="Q19" s="175">
        <f t="shared" si="2"/>
        <v>134.39180000000002</v>
      </c>
      <c r="R19" s="47"/>
    </row>
    <row r="20" spans="1:18">
      <c r="A20" s="176"/>
      <c r="B20" s="177" t="s">
        <v>28</v>
      </c>
      <c r="C20" s="192" t="s">
        <v>13</v>
      </c>
      <c r="D20" s="231">
        <v>6267.5004104180443</v>
      </c>
      <c r="E20" s="232">
        <v>44101.762999999999</v>
      </c>
      <c r="F20" s="178">
        <f t="shared" si="0"/>
        <v>50369.263410418047</v>
      </c>
      <c r="G20" s="78">
        <v>6678.4110000000001</v>
      </c>
      <c r="H20" s="78">
        <v>678.904</v>
      </c>
      <c r="I20" s="179"/>
      <c r="J20" s="178">
        <f t="shared" si="1"/>
        <v>678.904</v>
      </c>
      <c r="K20" s="78">
        <v>51.3</v>
      </c>
      <c r="L20" s="54"/>
      <c r="M20" s="54"/>
      <c r="N20" s="54"/>
      <c r="O20" s="54"/>
      <c r="P20" s="54"/>
      <c r="Q20" s="180">
        <f t="shared" si="2"/>
        <v>57777.878410418052</v>
      </c>
      <c r="R20" s="47"/>
    </row>
    <row r="21" spans="1:18">
      <c r="A21" s="176" t="s">
        <v>18</v>
      </c>
      <c r="B21" s="306" t="s">
        <v>29</v>
      </c>
      <c r="C21" s="32" t="s">
        <v>11</v>
      </c>
      <c r="D21" s="228">
        <v>23.907599999999999</v>
      </c>
      <c r="E21" s="233">
        <v>74.085400000000007</v>
      </c>
      <c r="F21" s="181">
        <f t="shared" si="0"/>
        <v>97.993000000000009</v>
      </c>
      <c r="G21" s="77">
        <v>1567.8809000000001</v>
      </c>
      <c r="H21" s="77">
        <v>25.021999999999998</v>
      </c>
      <c r="I21" s="174"/>
      <c r="J21" s="181">
        <f t="shared" si="1"/>
        <v>25.021999999999998</v>
      </c>
      <c r="K21" s="77">
        <v>131.054</v>
      </c>
      <c r="L21" s="33"/>
      <c r="M21" s="33"/>
      <c r="N21" s="33"/>
      <c r="O21" s="33"/>
      <c r="P21" s="33"/>
      <c r="Q21" s="175">
        <f t="shared" si="2"/>
        <v>1821.9499000000001</v>
      </c>
      <c r="R21" s="47"/>
    </row>
    <row r="22" spans="1:18">
      <c r="A22" s="27"/>
      <c r="B22" s="307"/>
      <c r="C22" s="192" t="s">
        <v>13</v>
      </c>
      <c r="D22" s="231">
        <v>7400.4798339937852</v>
      </c>
      <c r="E22" s="234">
        <v>22649.260999999999</v>
      </c>
      <c r="F22" s="178">
        <f t="shared" si="0"/>
        <v>30049.740833993783</v>
      </c>
      <c r="G22" s="78">
        <v>435394.88900000002</v>
      </c>
      <c r="H22" s="78">
        <v>6370.317</v>
      </c>
      <c r="I22" s="179"/>
      <c r="J22" s="178">
        <f t="shared" si="1"/>
        <v>6370.317</v>
      </c>
      <c r="K22" s="78">
        <v>35583.019</v>
      </c>
      <c r="L22" s="54"/>
      <c r="M22" s="54"/>
      <c r="N22" s="54"/>
      <c r="O22" s="54"/>
      <c r="P22" s="54"/>
      <c r="Q22" s="180">
        <f t="shared" si="2"/>
        <v>507397.96583399375</v>
      </c>
      <c r="R22" s="47"/>
    </row>
    <row r="23" spans="1:18">
      <c r="A23" s="27"/>
      <c r="B23" s="308" t="s">
        <v>19</v>
      </c>
      <c r="C23" s="32" t="s">
        <v>11</v>
      </c>
      <c r="D23" s="55">
        <f t="shared" ref="D23:D24" si="6">D13+D15+D17+D19+D21</f>
        <v>247.6446</v>
      </c>
      <c r="E23" s="33">
        <f t="shared" ref="E23:E24" si="7">+E13+E15+E17+E19+E21</f>
        <v>201.68090000000001</v>
      </c>
      <c r="F23" s="181">
        <f t="shared" si="0"/>
        <v>449.32550000000003</v>
      </c>
      <c r="G23" s="49">
        <f t="shared" ref="G23:H24" si="8">+G13+G15+G17+G19+G21</f>
        <v>1810.7443000000001</v>
      </c>
      <c r="H23" s="49">
        <f t="shared" si="8"/>
        <v>102.97039999999998</v>
      </c>
      <c r="I23" s="50"/>
      <c r="J23" s="181">
        <f t="shared" si="1"/>
        <v>102.97039999999998</v>
      </c>
      <c r="K23" s="49">
        <f t="shared" ref="K23:L24" si="9">+K13+K15+K17+K19+K21</f>
        <v>155.6874</v>
      </c>
      <c r="L23" s="33">
        <f t="shared" si="9"/>
        <v>0.59004999999999996</v>
      </c>
      <c r="M23" s="33"/>
      <c r="N23" s="33">
        <f>N13+N15+N17+N19+N21</f>
        <v>4.9000000000000002E-2</v>
      </c>
      <c r="O23" s="33"/>
      <c r="P23" s="33"/>
      <c r="Q23" s="175">
        <f t="shared" si="2"/>
        <v>2519.3666499999999</v>
      </c>
      <c r="R23" s="47"/>
    </row>
    <row r="24" spans="1:18">
      <c r="A24" s="183"/>
      <c r="B24" s="309"/>
      <c r="C24" s="192" t="s">
        <v>13</v>
      </c>
      <c r="D24" s="63">
        <f t="shared" si="6"/>
        <v>151544.26287342724</v>
      </c>
      <c r="E24" s="54">
        <f t="shared" si="7"/>
        <v>114857.054</v>
      </c>
      <c r="F24" s="178">
        <f t="shared" si="0"/>
        <v>266401.31687342725</v>
      </c>
      <c r="G24" s="68">
        <f t="shared" si="8"/>
        <v>533797.07300000009</v>
      </c>
      <c r="H24" s="68">
        <f t="shared" si="8"/>
        <v>63768.246000000006</v>
      </c>
      <c r="I24" s="63"/>
      <c r="J24" s="178">
        <f t="shared" si="1"/>
        <v>63768.246000000006</v>
      </c>
      <c r="K24" s="68">
        <f t="shared" si="9"/>
        <v>57488.087</v>
      </c>
      <c r="L24" s="54">
        <f t="shared" si="9"/>
        <v>1110.1170000000002</v>
      </c>
      <c r="M24" s="54"/>
      <c r="N24" s="54">
        <f>N14+N16+N18+N20+N22</f>
        <v>27.216000000000001</v>
      </c>
      <c r="O24" s="54"/>
      <c r="P24" s="54"/>
      <c r="Q24" s="180">
        <f t="shared" si="2"/>
        <v>922592.05587342742</v>
      </c>
      <c r="R24" s="47"/>
    </row>
    <row r="25" spans="1:18">
      <c r="A25" s="172" t="s">
        <v>0</v>
      </c>
      <c r="B25" s="306" t="s">
        <v>30</v>
      </c>
      <c r="C25" s="32" t="s">
        <v>11</v>
      </c>
      <c r="D25" s="229">
        <v>1.4529000000000001</v>
      </c>
      <c r="E25" s="224">
        <v>1.3979999999999999</v>
      </c>
      <c r="F25" s="181">
        <f t="shared" si="0"/>
        <v>2.8509000000000002</v>
      </c>
      <c r="G25" s="77">
        <v>100.71850000000001</v>
      </c>
      <c r="H25" s="77"/>
      <c r="I25" s="174"/>
      <c r="J25" s="181">
        <f t="shared" si="1"/>
        <v>0</v>
      </c>
      <c r="K25" s="77">
        <v>6.8000000000000005E-2</v>
      </c>
      <c r="L25" s="33">
        <v>8.3999999999999995E-3</v>
      </c>
      <c r="M25" s="33"/>
      <c r="N25" s="33"/>
      <c r="O25" s="33"/>
      <c r="P25" s="33"/>
      <c r="Q25" s="175">
        <f t="shared" si="2"/>
        <v>103.64579999999999</v>
      </c>
      <c r="R25" s="47"/>
    </row>
    <row r="26" spans="1:18">
      <c r="A26" s="176" t="s">
        <v>31</v>
      </c>
      <c r="B26" s="307"/>
      <c r="C26" s="192" t="s">
        <v>13</v>
      </c>
      <c r="D26" s="231">
        <v>997.77962076241852</v>
      </c>
      <c r="E26" s="232">
        <v>1116.5150000000001</v>
      </c>
      <c r="F26" s="178">
        <f t="shared" si="0"/>
        <v>2114.2946207624186</v>
      </c>
      <c r="G26" s="78">
        <v>116366.22</v>
      </c>
      <c r="H26" s="78"/>
      <c r="I26" s="179"/>
      <c r="J26" s="178">
        <f t="shared" si="1"/>
        <v>0</v>
      </c>
      <c r="K26" s="78">
        <v>44.064</v>
      </c>
      <c r="L26" s="54">
        <v>19.504999999999999</v>
      </c>
      <c r="M26" s="54"/>
      <c r="N26" s="54"/>
      <c r="O26" s="54"/>
      <c r="P26" s="54"/>
      <c r="Q26" s="180">
        <f t="shared" si="2"/>
        <v>118544.08362076242</v>
      </c>
      <c r="R26" s="47"/>
    </row>
    <row r="27" spans="1:18">
      <c r="A27" s="176" t="s">
        <v>32</v>
      </c>
      <c r="B27" s="46" t="s">
        <v>15</v>
      </c>
      <c r="C27" s="32" t="s">
        <v>11</v>
      </c>
      <c r="D27" s="228">
        <v>2.524</v>
      </c>
      <c r="E27" s="228">
        <v>7.0609999999999999</v>
      </c>
      <c r="F27" s="181">
        <f t="shared" si="0"/>
        <v>9.5850000000000009</v>
      </c>
      <c r="G27" s="77">
        <v>35.222499999999997</v>
      </c>
      <c r="H27" s="77">
        <v>2.1000000000000001E-2</v>
      </c>
      <c r="I27" s="174"/>
      <c r="J27" s="181">
        <f t="shared" si="1"/>
        <v>2.1000000000000001E-2</v>
      </c>
      <c r="K27" s="77"/>
      <c r="L27" s="33"/>
      <c r="M27" s="33"/>
      <c r="N27" s="33"/>
      <c r="O27" s="33"/>
      <c r="P27" s="33"/>
      <c r="Q27" s="175">
        <f t="shared" si="2"/>
        <v>44.828499999999998</v>
      </c>
      <c r="R27" s="47"/>
    </row>
    <row r="28" spans="1:18">
      <c r="A28" s="176" t="s">
        <v>33</v>
      </c>
      <c r="B28" s="177" t="s">
        <v>34</v>
      </c>
      <c r="C28" s="192" t="s">
        <v>13</v>
      </c>
      <c r="D28" s="235">
        <v>578.15641203063808</v>
      </c>
      <c r="E28" s="236">
        <v>1744.33</v>
      </c>
      <c r="F28" s="178">
        <f t="shared" si="0"/>
        <v>2322.4864120306379</v>
      </c>
      <c r="G28" s="78">
        <v>11728.716</v>
      </c>
      <c r="H28" s="78">
        <v>0.68</v>
      </c>
      <c r="I28" s="179"/>
      <c r="J28" s="178">
        <f t="shared" si="1"/>
        <v>0.68</v>
      </c>
      <c r="K28" s="78"/>
      <c r="L28" s="54"/>
      <c r="M28" s="54"/>
      <c r="N28" s="54"/>
      <c r="O28" s="54"/>
      <c r="P28" s="54"/>
      <c r="Q28" s="180">
        <f t="shared" si="2"/>
        <v>14051.882412030638</v>
      </c>
      <c r="R28" s="47"/>
    </row>
    <row r="29" spans="1:18">
      <c r="A29" s="176" t="s">
        <v>18</v>
      </c>
      <c r="B29" s="308" t="s">
        <v>19</v>
      </c>
      <c r="C29" s="32" t="s">
        <v>11</v>
      </c>
      <c r="D29" s="50">
        <f t="shared" ref="D29:D30" si="10">D25+D27</f>
        <v>3.9769000000000001</v>
      </c>
      <c r="E29" s="33">
        <f t="shared" ref="E29:E30" si="11">+E25+E27</f>
        <v>8.4589999999999996</v>
      </c>
      <c r="F29" s="181">
        <f t="shared" si="0"/>
        <v>12.4359</v>
      </c>
      <c r="G29" s="49">
        <f>+G25+G27</f>
        <v>135.941</v>
      </c>
      <c r="H29" s="49">
        <f>+H25+H27</f>
        <v>2.1000000000000001E-2</v>
      </c>
      <c r="I29" s="50"/>
      <c r="J29" s="181">
        <f t="shared" si="1"/>
        <v>2.1000000000000001E-2</v>
      </c>
      <c r="K29" s="49">
        <f>+K25+K27</f>
        <v>6.8000000000000005E-2</v>
      </c>
      <c r="L29" s="33">
        <f t="shared" ref="L29:L30" si="12">+L25+L27</f>
        <v>8.3999999999999995E-3</v>
      </c>
      <c r="M29" s="55"/>
      <c r="N29" s="33"/>
      <c r="O29" s="33"/>
      <c r="P29" s="33"/>
      <c r="Q29" s="175">
        <f t="shared" si="2"/>
        <v>148.4743</v>
      </c>
      <c r="R29" s="47"/>
    </row>
    <row r="30" spans="1:18">
      <c r="A30" s="183"/>
      <c r="B30" s="309"/>
      <c r="C30" s="192" t="s">
        <v>13</v>
      </c>
      <c r="D30" s="63">
        <f t="shared" si="10"/>
        <v>1575.9360327930567</v>
      </c>
      <c r="E30" s="54">
        <f t="shared" si="11"/>
        <v>2860.8450000000003</v>
      </c>
      <c r="F30" s="178">
        <f t="shared" si="0"/>
        <v>4436.7810327930565</v>
      </c>
      <c r="G30" s="68">
        <f>+G26+G28</f>
        <v>128094.936</v>
      </c>
      <c r="H30" s="68">
        <f>+H26+H28</f>
        <v>0.68</v>
      </c>
      <c r="I30" s="63"/>
      <c r="J30" s="178">
        <f t="shared" si="1"/>
        <v>0.68</v>
      </c>
      <c r="K30" s="68">
        <f>+K26+K28</f>
        <v>44.064</v>
      </c>
      <c r="L30" s="54">
        <f t="shared" si="12"/>
        <v>19.504999999999999</v>
      </c>
      <c r="M30" s="68"/>
      <c r="N30" s="54"/>
      <c r="O30" s="54"/>
      <c r="P30" s="54"/>
      <c r="Q30" s="180">
        <f t="shared" si="2"/>
        <v>132595.96603279308</v>
      </c>
      <c r="R30" s="47"/>
    </row>
    <row r="31" spans="1:18">
      <c r="A31" s="172" t="s">
        <v>0</v>
      </c>
      <c r="B31" s="306" t="s">
        <v>35</v>
      </c>
      <c r="C31" s="32" t="s">
        <v>11</v>
      </c>
      <c r="D31" s="229">
        <v>3.7100000000000001E-2</v>
      </c>
      <c r="E31" s="224">
        <v>4.0000000000000001E-3</v>
      </c>
      <c r="F31" s="181">
        <f t="shared" si="0"/>
        <v>4.1099999999999998E-2</v>
      </c>
      <c r="G31" s="77">
        <v>165.80080000000001</v>
      </c>
      <c r="H31" s="77">
        <v>1257.223</v>
      </c>
      <c r="I31" s="174"/>
      <c r="J31" s="181">
        <f t="shared" si="1"/>
        <v>1257.223</v>
      </c>
      <c r="K31" s="77">
        <v>118.5042</v>
      </c>
      <c r="L31" s="33">
        <v>0.22320000000000001</v>
      </c>
      <c r="M31" s="33"/>
      <c r="N31" s="33"/>
      <c r="O31" s="33"/>
      <c r="P31" s="33">
        <v>0.2477</v>
      </c>
      <c r="Q31" s="175">
        <f t="shared" si="2"/>
        <v>1542.0399999999997</v>
      </c>
      <c r="R31" s="47"/>
    </row>
    <row r="32" spans="1:18">
      <c r="A32" s="176" t="s">
        <v>36</v>
      </c>
      <c r="B32" s="307"/>
      <c r="C32" s="192" t="s">
        <v>13</v>
      </c>
      <c r="D32" s="231">
        <v>4.286520089196574</v>
      </c>
      <c r="E32" s="232">
        <v>0.54</v>
      </c>
      <c r="F32" s="178">
        <f t="shared" si="0"/>
        <v>4.826520089196574</v>
      </c>
      <c r="G32" s="78">
        <v>3617.4870000000001</v>
      </c>
      <c r="H32" s="78">
        <v>161674.44200000001</v>
      </c>
      <c r="I32" s="179"/>
      <c r="J32" s="178">
        <f t="shared" si="1"/>
        <v>161674.44200000001</v>
      </c>
      <c r="K32" s="78">
        <v>11887.609</v>
      </c>
      <c r="L32" s="54">
        <v>18.084</v>
      </c>
      <c r="M32" s="54"/>
      <c r="N32" s="54"/>
      <c r="O32" s="54"/>
      <c r="P32" s="54">
        <f>20.485*1.08</f>
        <v>22.123799999999999</v>
      </c>
      <c r="Q32" s="180">
        <f t="shared" si="2"/>
        <v>177224.57232008921</v>
      </c>
      <c r="R32" s="47"/>
    </row>
    <row r="33" spans="1:18">
      <c r="A33" s="176" t="s">
        <v>0</v>
      </c>
      <c r="B33" s="306" t="s">
        <v>37</v>
      </c>
      <c r="C33" s="32" t="s">
        <v>11</v>
      </c>
      <c r="D33" s="228">
        <v>1.2999999999999999E-2</v>
      </c>
      <c r="E33" s="228"/>
      <c r="F33" s="181">
        <f t="shared" si="0"/>
        <v>1.2999999999999999E-2</v>
      </c>
      <c r="G33" s="77">
        <v>2.4500000000000001E-2</v>
      </c>
      <c r="H33" s="77">
        <v>231.548</v>
      </c>
      <c r="I33" s="174"/>
      <c r="J33" s="181">
        <f t="shared" si="1"/>
        <v>231.548</v>
      </c>
      <c r="K33" s="77">
        <v>43.374000000000002</v>
      </c>
      <c r="L33" s="33">
        <v>0.39400000000000002</v>
      </c>
      <c r="M33" s="33"/>
      <c r="N33" s="33"/>
      <c r="O33" s="33"/>
      <c r="P33" s="33"/>
      <c r="Q33" s="175">
        <f t="shared" si="2"/>
        <v>275.3535</v>
      </c>
      <c r="R33" s="47"/>
    </row>
    <row r="34" spans="1:18">
      <c r="A34" s="176" t="s">
        <v>38</v>
      </c>
      <c r="B34" s="307"/>
      <c r="C34" s="192" t="s">
        <v>13</v>
      </c>
      <c r="D34" s="230">
        <v>1.4040000292153054</v>
      </c>
      <c r="E34" s="225"/>
      <c r="F34" s="178">
        <f t="shared" si="0"/>
        <v>1.4040000292153054</v>
      </c>
      <c r="G34" s="78">
        <v>0.53800000000000003</v>
      </c>
      <c r="H34" s="78">
        <v>16712.839</v>
      </c>
      <c r="I34" s="179"/>
      <c r="J34" s="178">
        <f t="shared" si="1"/>
        <v>16712.839</v>
      </c>
      <c r="K34" s="78">
        <v>3092.3020000000001</v>
      </c>
      <c r="L34" s="54">
        <v>13.532999999999999</v>
      </c>
      <c r="M34" s="54"/>
      <c r="N34" s="54"/>
      <c r="O34" s="54"/>
      <c r="P34" s="54"/>
      <c r="Q34" s="180">
        <f t="shared" si="2"/>
        <v>19820.616000029215</v>
      </c>
      <c r="R34" s="47"/>
    </row>
    <row r="35" spans="1:18">
      <c r="A35" s="176"/>
      <c r="B35" s="46" t="s">
        <v>15</v>
      </c>
      <c r="C35" s="32" t="s">
        <v>11</v>
      </c>
      <c r="D35" s="229"/>
      <c r="E35" s="224"/>
      <c r="F35" s="181">
        <f t="shared" si="0"/>
        <v>0</v>
      </c>
      <c r="G35" s="77"/>
      <c r="H35" s="77">
        <v>701.31399999999996</v>
      </c>
      <c r="I35" s="174"/>
      <c r="J35" s="181">
        <f t="shared" si="1"/>
        <v>701.31399999999996</v>
      </c>
      <c r="K35" s="77">
        <v>84.072000000000003</v>
      </c>
      <c r="L35" s="33"/>
      <c r="M35" s="33"/>
      <c r="N35" s="33">
        <v>8.3799999999999999E-2</v>
      </c>
      <c r="O35" s="33"/>
      <c r="P35" s="33"/>
      <c r="Q35" s="175">
        <f t="shared" si="2"/>
        <v>785.46979999999996</v>
      </c>
      <c r="R35" s="47"/>
    </row>
    <row r="36" spans="1:18">
      <c r="A36" s="176" t="s">
        <v>18</v>
      </c>
      <c r="B36" s="177" t="s">
        <v>39</v>
      </c>
      <c r="C36" s="192" t="s">
        <v>13</v>
      </c>
      <c r="D36" s="230"/>
      <c r="E36" s="225"/>
      <c r="F36" s="178">
        <f t="shared" si="0"/>
        <v>0</v>
      </c>
      <c r="G36" s="78"/>
      <c r="H36" s="78">
        <v>39228.951000000001</v>
      </c>
      <c r="I36" s="179"/>
      <c r="J36" s="178">
        <f t="shared" si="1"/>
        <v>39228.951000000001</v>
      </c>
      <c r="K36" s="78">
        <v>5349.1620000000003</v>
      </c>
      <c r="L36" s="54"/>
      <c r="M36" s="54"/>
      <c r="N36" s="54">
        <v>8.7319999999999993</v>
      </c>
      <c r="O36" s="54"/>
      <c r="P36" s="54"/>
      <c r="Q36" s="180">
        <f t="shared" si="2"/>
        <v>44586.845000000001</v>
      </c>
      <c r="R36" s="47"/>
    </row>
    <row r="37" spans="1:18">
      <c r="A37" s="27"/>
      <c r="B37" s="308" t="s">
        <v>19</v>
      </c>
      <c r="C37" s="32" t="s">
        <v>11</v>
      </c>
      <c r="D37" s="50">
        <f t="shared" ref="D37:D38" si="13">D31+D33+D35</f>
        <v>5.0099999999999999E-2</v>
      </c>
      <c r="E37" s="33">
        <f t="shared" ref="E37:E38" si="14">+E31+E33+E35</f>
        <v>4.0000000000000001E-3</v>
      </c>
      <c r="F37" s="181">
        <f t="shared" si="0"/>
        <v>5.4099999999999995E-2</v>
      </c>
      <c r="G37" s="49">
        <f t="shared" ref="G37:H38" si="15">+G31+G33+G35</f>
        <v>165.8253</v>
      </c>
      <c r="H37" s="49">
        <f t="shared" si="15"/>
        <v>2190.085</v>
      </c>
      <c r="I37" s="50"/>
      <c r="J37" s="181">
        <f t="shared" si="1"/>
        <v>2190.085</v>
      </c>
      <c r="K37" s="49">
        <f t="shared" ref="K37:L38" si="16">+K31+K33+K35</f>
        <v>245.9502</v>
      </c>
      <c r="L37" s="33">
        <f t="shared" si="16"/>
        <v>0.61719999999999997</v>
      </c>
      <c r="M37" s="33"/>
      <c r="N37" s="33">
        <f t="shared" ref="N37:N38" si="17">+N31+N33+N35</f>
        <v>8.3799999999999999E-2</v>
      </c>
      <c r="O37" s="33"/>
      <c r="P37" s="33">
        <f>P31+P33+P35</f>
        <v>0.2477</v>
      </c>
      <c r="Q37" s="175">
        <f t="shared" si="2"/>
        <v>2602.8633</v>
      </c>
      <c r="R37" s="47"/>
    </row>
    <row r="38" spans="1:18">
      <c r="A38" s="183"/>
      <c r="B38" s="309"/>
      <c r="C38" s="192" t="s">
        <v>13</v>
      </c>
      <c r="D38" s="63">
        <f t="shared" si="13"/>
        <v>5.6905201184118797</v>
      </c>
      <c r="E38" s="54">
        <f t="shared" si="14"/>
        <v>0.54</v>
      </c>
      <c r="F38" s="178">
        <f t="shared" si="0"/>
        <v>6.2305201184118797</v>
      </c>
      <c r="G38" s="68">
        <f t="shared" si="15"/>
        <v>3618.0250000000001</v>
      </c>
      <c r="H38" s="68">
        <f t="shared" si="15"/>
        <v>217616.23200000002</v>
      </c>
      <c r="I38" s="63"/>
      <c r="J38" s="178">
        <f t="shared" si="1"/>
        <v>217616.23200000002</v>
      </c>
      <c r="K38" s="68">
        <f t="shared" si="16"/>
        <v>20329.073</v>
      </c>
      <c r="L38" s="54">
        <f t="shared" si="16"/>
        <v>31.616999999999997</v>
      </c>
      <c r="M38" s="54"/>
      <c r="N38" s="54">
        <f t="shared" si="17"/>
        <v>8.7319999999999993</v>
      </c>
      <c r="O38" s="54"/>
      <c r="P38" s="54">
        <f>P32+P34+P36</f>
        <v>22.123799999999999</v>
      </c>
      <c r="Q38" s="180">
        <f t="shared" si="2"/>
        <v>241632.03332011841</v>
      </c>
      <c r="R38" s="47"/>
    </row>
    <row r="39" spans="1:18">
      <c r="A39" s="310" t="s">
        <v>40</v>
      </c>
      <c r="B39" s="311"/>
      <c r="C39" s="32" t="s">
        <v>11</v>
      </c>
      <c r="D39" s="229">
        <v>0.1759</v>
      </c>
      <c r="E39" s="224">
        <v>0.42799999999999999</v>
      </c>
      <c r="F39" s="181">
        <f t="shared" si="0"/>
        <v>0.60389999999999999</v>
      </c>
      <c r="G39" s="77">
        <v>2.07E-2</v>
      </c>
      <c r="H39" s="77">
        <v>128.50620000000001</v>
      </c>
      <c r="I39" s="174"/>
      <c r="J39" s="181">
        <f t="shared" si="1"/>
        <v>128.50620000000001</v>
      </c>
      <c r="K39" s="77">
        <v>1.6838</v>
      </c>
      <c r="L39" s="33">
        <v>6.9999999999999999E-4</v>
      </c>
      <c r="M39" s="33"/>
      <c r="N39" s="33">
        <v>3.5999999999999999E-3</v>
      </c>
      <c r="O39" s="33"/>
      <c r="P39" s="33"/>
      <c r="Q39" s="175">
        <f t="shared" si="2"/>
        <v>130.81889999999999</v>
      </c>
      <c r="R39" s="47"/>
    </row>
    <row r="40" spans="1:18">
      <c r="A40" s="312"/>
      <c r="B40" s="313"/>
      <c r="C40" s="192" t="s">
        <v>13</v>
      </c>
      <c r="D40" s="230">
        <v>140.8860029316435</v>
      </c>
      <c r="E40" s="225">
        <v>166.374</v>
      </c>
      <c r="F40" s="178">
        <f t="shared" si="0"/>
        <v>307.2600029316435</v>
      </c>
      <c r="G40" s="78">
        <v>16.149999999999999</v>
      </c>
      <c r="H40" s="78">
        <v>37878.180999999997</v>
      </c>
      <c r="I40" s="179"/>
      <c r="J40" s="178">
        <f t="shared" si="1"/>
        <v>37878.180999999997</v>
      </c>
      <c r="K40" s="78">
        <v>666.72400000000005</v>
      </c>
      <c r="L40" s="54">
        <v>0.378</v>
      </c>
      <c r="M40" s="54"/>
      <c r="N40" s="54">
        <v>4.6870000000000003</v>
      </c>
      <c r="O40" s="54"/>
      <c r="P40" s="54"/>
      <c r="Q40" s="180">
        <f t="shared" si="2"/>
        <v>38873.380002931641</v>
      </c>
      <c r="R40" s="47"/>
    </row>
    <row r="41" spans="1:18">
      <c r="A41" s="310" t="s">
        <v>41</v>
      </c>
      <c r="B41" s="311"/>
      <c r="C41" s="32" t="s">
        <v>11</v>
      </c>
      <c r="D41" s="229">
        <v>1.3678999999999999</v>
      </c>
      <c r="E41" s="224">
        <v>0.77470000000000006</v>
      </c>
      <c r="F41" s="181">
        <f t="shared" si="0"/>
        <v>2.1425999999999998</v>
      </c>
      <c r="G41" s="77">
        <v>57.830300000000001</v>
      </c>
      <c r="H41" s="77">
        <v>316.49340000000001</v>
      </c>
      <c r="I41" s="174"/>
      <c r="J41" s="181">
        <f t="shared" si="1"/>
        <v>316.49340000000001</v>
      </c>
      <c r="K41" s="77">
        <v>48.086100000000002</v>
      </c>
      <c r="L41" s="33">
        <v>1.4587000000000001</v>
      </c>
      <c r="M41" s="33"/>
      <c r="N41" s="33">
        <v>6.4874999999999998</v>
      </c>
      <c r="O41" s="33">
        <v>5.1999999999999998E-3</v>
      </c>
      <c r="P41" s="33">
        <v>0.13619999999999999</v>
      </c>
      <c r="Q41" s="175">
        <f t="shared" si="2"/>
        <v>432.64</v>
      </c>
      <c r="R41" s="47"/>
    </row>
    <row r="42" spans="1:18">
      <c r="A42" s="312"/>
      <c r="B42" s="313"/>
      <c r="C42" s="192" t="s">
        <v>13</v>
      </c>
      <c r="D42" s="231">
        <v>383.17104797326135</v>
      </c>
      <c r="E42" s="232">
        <v>26.294</v>
      </c>
      <c r="F42" s="178">
        <f t="shared" si="0"/>
        <v>409.46504797326133</v>
      </c>
      <c r="G42" s="78">
        <v>10631.137000000001</v>
      </c>
      <c r="H42" s="78">
        <v>60294.421999999999</v>
      </c>
      <c r="I42" s="179"/>
      <c r="J42" s="178">
        <f t="shared" si="1"/>
        <v>60294.421999999999</v>
      </c>
      <c r="K42" s="78">
        <v>13617.569</v>
      </c>
      <c r="L42" s="54">
        <v>257.072</v>
      </c>
      <c r="M42" s="54"/>
      <c r="N42" s="54">
        <v>809.86</v>
      </c>
      <c r="O42" s="54">
        <v>1.123</v>
      </c>
      <c r="P42" s="54">
        <f>5.026*1.08</f>
        <v>5.4280800000000005</v>
      </c>
      <c r="Q42" s="180">
        <f t="shared" si="2"/>
        <v>86026.076127973269</v>
      </c>
      <c r="R42" s="47"/>
    </row>
    <row r="43" spans="1:18">
      <c r="A43" s="310" t="s">
        <v>42</v>
      </c>
      <c r="B43" s="311"/>
      <c r="C43" s="32" t="s">
        <v>11</v>
      </c>
      <c r="D43" s="228"/>
      <c r="E43" s="228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92" t="s">
        <v>13</v>
      </c>
      <c r="D44" s="230"/>
      <c r="E44" s="225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32" t="s">
        <v>11</v>
      </c>
      <c r="D45" s="229"/>
      <c r="E45" s="224"/>
      <c r="F45" s="181">
        <f t="shared" si="0"/>
        <v>0</v>
      </c>
      <c r="G45" s="77">
        <v>1.1000000000000001E-3</v>
      </c>
      <c r="H45" s="77">
        <v>4.1999999999999997E-3</v>
      </c>
      <c r="I45" s="174"/>
      <c r="J45" s="181">
        <f t="shared" si="1"/>
        <v>4.1999999999999997E-3</v>
      </c>
      <c r="K45" s="77">
        <v>8.0000000000000004E-4</v>
      </c>
      <c r="L45" s="33">
        <v>6.9999999999999999E-4</v>
      </c>
      <c r="M45" s="33"/>
      <c r="N45" s="33"/>
      <c r="O45" s="33"/>
      <c r="P45" s="33"/>
      <c r="Q45" s="175">
        <f t="shared" si="2"/>
        <v>6.8000000000000005E-3</v>
      </c>
      <c r="R45" s="47"/>
    </row>
    <row r="46" spans="1:18">
      <c r="A46" s="312"/>
      <c r="B46" s="313"/>
      <c r="C46" s="192" t="s">
        <v>13</v>
      </c>
      <c r="D46" s="231"/>
      <c r="E46" s="232"/>
      <c r="F46" s="178">
        <f t="shared" si="0"/>
        <v>0</v>
      </c>
      <c r="G46" s="78">
        <v>0.68899999999999995</v>
      </c>
      <c r="H46" s="78">
        <v>3.6070000000000002</v>
      </c>
      <c r="I46" s="179"/>
      <c r="J46" s="178">
        <f t="shared" si="1"/>
        <v>3.6070000000000002</v>
      </c>
      <c r="K46" s="78">
        <v>0.51800000000000002</v>
      </c>
      <c r="L46" s="54">
        <v>0.60499999999999998</v>
      </c>
      <c r="M46" s="54"/>
      <c r="N46" s="54"/>
      <c r="O46" s="54"/>
      <c r="P46" s="54"/>
      <c r="Q46" s="180">
        <f t="shared" si="2"/>
        <v>5.4190000000000005</v>
      </c>
      <c r="R46" s="47"/>
    </row>
    <row r="47" spans="1:18">
      <c r="A47" s="310" t="s">
        <v>44</v>
      </c>
      <c r="B47" s="311"/>
      <c r="C47" s="32" t="s">
        <v>11</v>
      </c>
      <c r="D47" s="228"/>
      <c r="E47" s="228"/>
      <c r="F47" s="181">
        <f t="shared" si="0"/>
        <v>0</v>
      </c>
      <c r="G47" s="77">
        <v>3.8100000000000002E-2</v>
      </c>
      <c r="H47" s="77">
        <v>7.9200000000000007E-2</v>
      </c>
      <c r="I47" s="174"/>
      <c r="J47" s="181">
        <f t="shared" si="1"/>
        <v>7.9200000000000007E-2</v>
      </c>
      <c r="K47" s="77">
        <v>4.0000000000000001E-3</v>
      </c>
      <c r="L47" s="33"/>
      <c r="M47" s="33"/>
      <c r="N47" s="33"/>
      <c r="O47" s="33"/>
      <c r="P47" s="33"/>
      <c r="Q47" s="175">
        <f t="shared" si="2"/>
        <v>0.12130000000000002</v>
      </c>
      <c r="R47" s="47"/>
    </row>
    <row r="48" spans="1:18">
      <c r="A48" s="312"/>
      <c r="B48" s="313"/>
      <c r="C48" s="192" t="s">
        <v>13</v>
      </c>
      <c r="D48" s="114"/>
      <c r="E48" s="114"/>
      <c r="F48" s="178">
        <f t="shared" si="0"/>
        <v>0</v>
      </c>
      <c r="G48" s="78">
        <v>38.473999999999997</v>
      </c>
      <c r="H48" s="78">
        <v>34.271000000000001</v>
      </c>
      <c r="I48" s="179"/>
      <c r="J48" s="178">
        <f t="shared" si="1"/>
        <v>34.271000000000001</v>
      </c>
      <c r="K48" s="78">
        <v>2.6779999999999999</v>
      </c>
      <c r="L48" s="54"/>
      <c r="M48" s="54"/>
      <c r="N48" s="54"/>
      <c r="O48" s="54"/>
      <c r="P48" s="54"/>
      <c r="Q48" s="180">
        <f t="shared" si="2"/>
        <v>75.423000000000002</v>
      </c>
      <c r="R48" s="47"/>
    </row>
    <row r="49" spans="1:18">
      <c r="A49" s="310" t="s">
        <v>45</v>
      </c>
      <c r="B49" s="311"/>
      <c r="C49" s="32" t="s">
        <v>11</v>
      </c>
      <c r="D49" s="229">
        <v>0.1183</v>
      </c>
      <c r="E49" s="224">
        <v>15.835699999999999</v>
      </c>
      <c r="F49" s="181">
        <f t="shared" si="0"/>
        <v>15.953999999999999</v>
      </c>
      <c r="G49" s="77">
        <v>149.45679999999999</v>
      </c>
      <c r="H49" s="77">
        <v>1155.7136</v>
      </c>
      <c r="I49" s="174"/>
      <c r="J49" s="181">
        <f t="shared" si="1"/>
        <v>1155.7136</v>
      </c>
      <c r="K49" s="77">
        <v>251.63399999999999</v>
      </c>
      <c r="L49" s="33">
        <v>0.13500000000000001</v>
      </c>
      <c r="M49" s="33"/>
      <c r="N49" s="33">
        <v>2.3999999999999998E-3</v>
      </c>
      <c r="O49" s="33"/>
      <c r="P49" s="33">
        <v>7.6E-3</v>
      </c>
      <c r="Q49" s="175">
        <f t="shared" si="2"/>
        <v>1572.9034000000001</v>
      </c>
      <c r="R49" s="47"/>
    </row>
    <row r="50" spans="1:18">
      <c r="A50" s="312"/>
      <c r="B50" s="313"/>
      <c r="C50" s="192" t="s">
        <v>13</v>
      </c>
      <c r="D50" s="231">
        <v>5.2488001092202961</v>
      </c>
      <c r="E50" s="232">
        <v>635.505</v>
      </c>
      <c r="F50" s="178">
        <f t="shared" si="0"/>
        <v>640.75380010922026</v>
      </c>
      <c r="G50" s="78">
        <v>11537.388000000001</v>
      </c>
      <c r="H50" s="78">
        <v>91711.543000000005</v>
      </c>
      <c r="I50" s="179"/>
      <c r="J50" s="178">
        <f t="shared" si="1"/>
        <v>91711.543000000005</v>
      </c>
      <c r="K50" s="78">
        <v>23489.611000000001</v>
      </c>
      <c r="L50" s="54">
        <v>43.792999999999999</v>
      </c>
      <c r="M50" s="54"/>
      <c r="N50" s="54">
        <v>0.38900000000000001</v>
      </c>
      <c r="O50" s="54"/>
      <c r="P50" s="54">
        <f>0.38*1.08</f>
        <v>0.41040000000000004</v>
      </c>
      <c r="Q50" s="180">
        <f t="shared" si="2"/>
        <v>127423.88820010923</v>
      </c>
      <c r="R50" s="47"/>
    </row>
    <row r="51" spans="1:18">
      <c r="A51" s="310" t="s">
        <v>46</v>
      </c>
      <c r="B51" s="311"/>
      <c r="C51" s="32" t="s">
        <v>11</v>
      </c>
      <c r="D51" s="228">
        <v>8.0000000000000002E-3</v>
      </c>
      <c r="E51" s="228">
        <v>7.0000000000000007E-2</v>
      </c>
      <c r="F51" s="181">
        <f t="shared" si="0"/>
        <v>7.8000000000000014E-2</v>
      </c>
      <c r="G51" s="77">
        <v>0.01</v>
      </c>
      <c r="H51" s="77">
        <v>0.36399999999999999</v>
      </c>
      <c r="I51" s="174"/>
      <c r="J51" s="181">
        <f t="shared" si="1"/>
        <v>0.36399999999999999</v>
      </c>
      <c r="K51" s="77">
        <v>2.4E-2</v>
      </c>
      <c r="L51" s="33"/>
      <c r="M51" s="33"/>
      <c r="N51" s="33"/>
      <c r="O51" s="33"/>
      <c r="P51" s="33"/>
      <c r="Q51" s="175">
        <f t="shared" si="2"/>
        <v>0.47600000000000003</v>
      </c>
      <c r="R51" s="47"/>
    </row>
    <row r="52" spans="1:18">
      <c r="A52" s="312"/>
      <c r="B52" s="313"/>
      <c r="C52" s="192" t="s">
        <v>13</v>
      </c>
      <c r="D52" s="230">
        <v>2.5920000539359482</v>
      </c>
      <c r="E52" s="225">
        <v>52.92</v>
      </c>
      <c r="F52" s="178">
        <f t="shared" si="0"/>
        <v>55.512000053935949</v>
      </c>
      <c r="G52" s="78">
        <v>4.4969999999999999</v>
      </c>
      <c r="H52" s="78">
        <v>62.508000000000003</v>
      </c>
      <c r="I52" s="179"/>
      <c r="J52" s="178">
        <f t="shared" si="1"/>
        <v>62.508000000000003</v>
      </c>
      <c r="K52" s="78">
        <v>2.1989999999999998</v>
      </c>
      <c r="L52" s="54"/>
      <c r="M52" s="54"/>
      <c r="N52" s="54"/>
      <c r="O52" s="54"/>
      <c r="P52" s="54"/>
      <c r="Q52" s="180">
        <f t="shared" si="2"/>
        <v>124.71600005393596</v>
      </c>
      <c r="R52" s="47"/>
    </row>
    <row r="53" spans="1:18">
      <c r="A53" s="310" t="s">
        <v>47</v>
      </c>
      <c r="B53" s="311"/>
      <c r="C53" s="32" t="s">
        <v>11</v>
      </c>
      <c r="D53" s="229">
        <v>0.1125</v>
      </c>
      <c r="E53" s="224"/>
      <c r="F53" s="181">
        <f t="shared" si="0"/>
        <v>0.1125</v>
      </c>
      <c r="G53" s="77">
        <v>3.1644999999999999</v>
      </c>
      <c r="H53" s="77">
        <v>0.93799999999999994</v>
      </c>
      <c r="I53" s="174"/>
      <c r="J53" s="181">
        <f t="shared" si="1"/>
        <v>0.93799999999999994</v>
      </c>
      <c r="K53" s="77">
        <v>1391.4219000000001</v>
      </c>
      <c r="L53" s="33">
        <v>271.05489999999998</v>
      </c>
      <c r="M53" s="33"/>
      <c r="N53" s="33">
        <v>2.2700000000000001E-2</v>
      </c>
      <c r="O53" s="33"/>
      <c r="P53" s="33">
        <v>7.0000000000000001E-3</v>
      </c>
      <c r="Q53" s="175">
        <f t="shared" si="2"/>
        <v>1666.7215000000001</v>
      </c>
      <c r="R53" s="47"/>
    </row>
    <row r="54" spans="1:18">
      <c r="A54" s="312"/>
      <c r="B54" s="313"/>
      <c r="C54" s="192" t="s">
        <v>13</v>
      </c>
      <c r="D54" s="230">
        <v>111.82320232688672</v>
      </c>
      <c r="E54" s="225"/>
      <c r="F54" s="178">
        <f t="shared" si="0"/>
        <v>111.82320232688672</v>
      </c>
      <c r="G54" s="78">
        <v>3249.6039999999998</v>
      </c>
      <c r="H54" s="78">
        <v>807.90899999999999</v>
      </c>
      <c r="I54" s="179"/>
      <c r="J54" s="178">
        <f t="shared" si="1"/>
        <v>807.90899999999999</v>
      </c>
      <c r="K54" s="78">
        <v>801176.46900000004</v>
      </c>
      <c r="L54" s="54">
        <v>164057.07999999999</v>
      </c>
      <c r="M54" s="54"/>
      <c r="N54" s="54">
        <v>6.5659999999999998</v>
      </c>
      <c r="O54" s="54"/>
      <c r="P54" s="54">
        <f>1.05*1.08</f>
        <v>1.1340000000000001</v>
      </c>
      <c r="Q54" s="180">
        <f t="shared" si="2"/>
        <v>969410.58520232688</v>
      </c>
      <c r="R54" s="47"/>
    </row>
    <row r="55" spans="1:18">
      <c r="A55" s="172" t="s">
        <v>0</v>
      </c>
      <c r="B55" s="306" t="s">
        <v>48</v>
      </c>
      <c r="C55" s="32" t="s">
        <v>11</v>
      </c>
      <c r="D55" s="229">
        <v>0.64039999999999997</v>
      </c>
      <c r="E55" s="224"/>
      <c r="F55" s="181">
        <f t="shared" si="0"/>
        <v>0.64039999999999997</v>
      </c>
      <c r="G55" s="77">
        <v>0.35010000000000002</v>
      </c>
      <c r="H55" s="77">
        <v>23.547499999999999</v>
      </c>
      <c r="I55" s="174"/>
      <c r="J55" s="181">
        <f t="shared" si="1"/>
        <v>23.547499999999999</v>
      </c>
      <c r="K55" s="77">
        <v>0.23380000000000001</v>
      </c>
      <c r="L55" s="33">
        <v>3.0599999999999999E-2</v>
      </c>
      <c r="M55" s="33"/>
      <c r="N55" s="33">
        <v>0.79410000000000003</v>
      </c>
      <c r="O55" s="33">
        <v>6.1999999999999998E-3</v>
      </c>
      <c r="P55" s="33">
        <v>0.37759999999999999</v>
      </c>
      <c r="Q55" s="175">
        <f t="shared" si="2"/>
        <v>25.9803</v>
      </c>
      <c r="R55" s="47"/>
    </row>
    <row r="56" spans="1:18">
      <c r="A56" s="176" t="s">
        <v>36</v>
      </c>
      <c r="B56" s="307"/>
      <c r="C56" s="192" t="s">
        <v>13</v>
      </c>
      <c r="D56" s="231">
        <v>546.55021137295648</v>
      </c>
      <c r="E56" s="232"/>
      <c r="F56" s="178">
        <f t="shared" si="0"/>
        <v>546.55021137295648</v>
      </c>
      <c r="G56" s="78">
        <v>413.32799999999997</v>
      </c>
      <c r="H56" s="78">
        <v>16496.132000000001</v>
      </c>
      <c r="I56" s="179"/>
      <c r="J56" s="178">
        <f t="shared" si="1"/>
        <v>16496.132000000001</v>
      </c>
      <c r="K56" s="78">
        <v>141.13300000000001</v>
      </c>
      <c r="L56" s="54">
        <v>32.902000000000001</v>
      </c>
      <c r="M56" s="54"/>
      <c r="N56" s="54">
        <v>624.36900000000003</v>
      </c>
      <c r="O56" s="54">
        <v>1.9219999999999999</v>
      </c>
      <c r="P56" s="54">
        <f>344.72*1.08</f>
        <v>372.29760000000005</v>
      </c>
      <c r="Q56" s="180">
        <f t="shared" si="2"/>
        <v>18628.633811372958</v>
      </c>
      <c r="R56" s="47"/>
    </row>
    <row r="57" spans="1:18">
      <c r="A57" s="176" t="s">
        <v>12</v>
      </c>
      <c r="B57" s="46" t="s">
        <v>15</v>
      </c>
      <c r="C57" s="32" t="s">
        <v>11</v>
      </c>
      <c r="D57" s="237">
        <v>2.1899999999999999E-2</v>
      </c>
      <c r="E57" s="233">
        <v>0.18310000000000001</v>
      </c>
      <c r="F57" s="181">
        <f t="shared" si="0"/>
        <v>0.20500000000000002</v>
      </c>
      <c r="G57" s="77">
        <v>0.1492</v>
      </c>
      <c r="H57" s="77">
        <v>0.1008</v>
      </c>
      <c r="I57" s="174"/>
      <c r="J57" s="181">
        <f t="shared" si="1"/>
        <v>0.1008</v>
      </c>
      <c r="K57" s="77">
        <v>2.2223999999999999</v>
      </c>
      <c r="L57" s="33">
        <v>1.4500000000000001E-2</v>
      </c>
      <c r="M57" s="33"/>
      <c r="N57" s="33">
        <v>3.8800000000000001E-2</v>
      </c>
      <c r="O57" s="33">
        <v>1E-3</v>
      </c>
      <c r="P57" s="33"/>
      <c r="Q57" s="175">
        <f t="shared" si="2"/>
        <v>2.7317</v>
      </c>
      <c r="R57" s="47"/>
    </row>
    <row r="58" spans="1:18">
      <c r="A58" s="176" t="s">
        <v>18</v>
      </c>
      <c r="B58" s="177" t="s">
        <v>49</v>
      </c>
      <c r="C58" s="192" t="s">
        <v>13</v>
      </c>
      <c r="D58" s="91">
        <v>9.4446001965291106</v>
      </c>
      <c r="E58" s="234">
        <v>96.974000000000004</v>
      </c>
      <c r="F58" s="178">
        <f t="shared" si="0"/>
        <v>106.41860019652911</v>
      </c>
      <c r="G58" s="78">
        <v>126.688</v>
      </c>
      <c r="H58" s="78">
        <v>184.56399999999999</v>
      </c>
      <c r="I58" s="179"/>
      <c r="J58" s="178">
        <f t="shared" si="1"/>
        <v>184.56399999999999</v>
      </c>
      <c r="K58" s="78">
        <v>485.74299999999999</v>
      </c>
      <c r="L58" s="54">
        <v>10.789</v>
      </c>
      <c r="M58" s="54"/>
      <c r="N58" s="54">
        <v>25.283000000000001</v>
      </c>
      <c r="O58" s="54">
        <v>1.62</v>
      </c>
      <c r="P58" s="54"/>
      <c r="Q58" s="180">
        <f t="shared" si="2"/>
        <v>941.10560019652917</v>
      </c>
      <c r="R58" s="47"/>
    </row>
    <row r="59" spans="1:18">
      <c r="A59" s="27"/>
      <c r="B59" s="308" t="s">
        <v>19</v>
      </c>
      <c r="C59" s="32" t="s">
        <v>11</v>
      </c>
      <c r="D59" s="50">
        <f t="shared" ref="D59:D60" si="18">D55+D57</f>
        <v>0.6623</v>
      </c>
      <c r="E59" s="33">
        <f t="shared" ref="E59:E60" si="19">+E55+E57</f>
        <v>0.18310000000000001</v>
      </c>
      <c r="F59" s="181">
        <f t="shared" si="0"/>
        <v>0.84540000000000004</v>
      </c>
      <c r="G59" s="49">
        <f t="shared" ref="G59:H60" si="20">+G55+G57</f>
        <v>0.49930000000000002</v>
      </c>
      <c r="H59" s="49">
        <f t="shared" si="20"/>
        <v>23.648299999999999</v>
      </c>
      <c r="I59" s="50"/>
      <c r="J59" s="181">
        <f t="shared" si="1"/>
        <v>23.648299999999999</v>
      </c>
      <c r="K59" s="49">
        <f t="shared" ref="K59:L60" si="21">+K55+K57</f>
        <v>2.4561999999999999</v>
      </c>
      <c r="L59" s="33">
        <f t="shared" si="21"/>
        <v>4.5100000000000001E-2</v>
      </c>
      <c r="M59" s="33"/>
      <c r="N59" s="33">
        <f t="shared" ref="N59:N60" si="22">N55+N57</f>
        <v>0.83289999999999997</v>
      </c>
      <c r="O59" s="33">
        <f>+O55+O57</f>
        <v>7.1999999999999998E-3</v>
      </c>
      <c r="P59" s="33">
        <f t="shared" ref="P59:P60" si="23">P55+P57</f>
        <v>0.37759999999999999</v>
      </c>
      <c r="Q59" s="175">
        <f t="shared" si="2"/>
        <v>28.712</v>
      </c>
      <c r="R59" s="47"/>
    </row>
    <row r="60" spans="1:18">
      <c r="A60" s="183"/>
      <c r="B60" s="309"/>
      <c r="C60" s="192" t="s">
        <v>13</v>
      </c>
      <c r="D60" s="63">
        <f t="shared" si="18"/>
        <v>555.99481156948559</v>
      </c>
      <c r="E60" s="54">
        <f t="shared" si="19"/>
        <v>96.974000000000004</v>
      </c>
      <c r="F60" s="178">
        <f t="shared" si="0"/>
        <v>652.96881156948564</v>
      </c>
      <c r="G60" s="68">
        <f t="shared" si="20"/>
        <v>540.01599999999996</v>
      </c>
      <c r="H60" s="68">
        <f t="shared" si="20"/>
        <v>16680.696</v>
      </c>
      <c r="I60" s="63"/>
      <c r="J60" s="178">
        <f t="shared" si="1"/>
        <v>16680.696</v>
      </c>
      <c r="K60" s="68">
        <f t="shared" si="21"/>
        <v>626.87599999999998</v>
      </c>
      <c r="L60" s="54">
        <f t="shared" si="21"/>
        <v>43.691000000000003</v>
      </c>
      <c r="M60" s="54"/>
      <c r="N60" s="54">
        <f t="shared" si="22"/>
        <v>649.65200000000004</v>
      </c>
      <c r="O60" s="54">
        <f t="shared" ref="O60" si="24">+O56+O58</f>
        <v>3.5419999999999998</v>
      </c>
      <c r="P60" s="54">
        <f t="shared" si="23"/>
        <v>372.29760000000005</v>
      </c>
      <c r="Q60" s="180">
        <f t="shared" si="2"/>
        <v>19569.739411569488</v>
      </c>
      <c r="R60" s="47"/>
    </row>
    <row r="61" spans="1:18">
      <c r="A61" s="172" t="s">
        <v>0</v>
      </c>
      <c r="B61" s="306" t="s">
        <v>50</v>
      </c>
      <c r="C61" s="32" t="s">
        <v>11</v>
      </c>
      <c r="D61" s="229">
        <v>0.28000000000000003</v>
      </c>
      <c r="E61" s="224"/>
      <c r="F61" s="181">
        <f t="shared" si="0"/>
        <v>0.28000000000000003</v>
      </c>
      <c r="G61" s="77"/>
      <c r="H61" s="77">
        <v>1.0920000000000001</v>
      </c>
      <c r="I61" s="174"/>
      <c r="J61" s="181">
        <f t="shared" si="1"/>
        <v>1.0920000000000001</v>
      </c>
      <c r="K61" s="77"/>
      <c r="L61" s="33">
        <v>2E-3</v>
      </c>
      <c r="M61" s="33"/>
      <c r="N61" s="33"/>
      <c r="O61" s="33"/>
      <c r="P61" s="33"/>
      <c r="Q61" s="175">
        <f t="shared" si="2"/>
        <v>1.3740000000000001</v>
      </c>
      <c r="R61" s="47"/>
    </row>
    <row r="62" spans="1:18">
      <c r="A62" s="176" t="s">
        <v>51</v>
      </c>
      <c r="B62" s="307"/>
      <c r="C62" s="192" t="s">
        <v>13</v>
      </c>
      <c r="D62" s="230">
        <v>21.124800439577978</v>
      </c>
      <c r="E62" s="225"/>
      <c r="F62" s="178">
        <f t="shared" si="0"/>
        <v>21.124800439577978</v>
      </c>
      <c r="G62" s="78"/>
      <c r="H62" s="78">
        <v>28.324000000000002</v>
      </c>
      <c r="I62" s="179"/>
      <c r="J62" s="178">
        <f t="shared" si="1"/>
        <v>28.324000000000002</v>
      </c>
      <c r="K62" s="78"/>
      <c r="L62" s="54">
        <v>0.378</v>
      </c>
      <c r="M62" s="54"/>
      <c r="N62" s="54"/>
      <c r="O62" s="54"/>
      <c r="P62" s="54"/>
      <c r="Q62" s="180">
        <f t="shared" si="2"/>
        <v>49.82680043957798</v>
      </c>
      <c r="R62" s="47"/>
    </row>
    <row r="63" spans="1:18">
      <c r="A63" s="176" t="s">
        <v>0</v>
      </c>
      <c r="B63" s="46" t="s">
        <v>52</v>
      </c>
      <c r="C63" s="32" t="s">
        <v>11</v>
      </c>
      <c r="D63" s="229"/>
      <c r="E63" s="224">
        <v>1.9</v>
      </c>
      <c r="F63" s="181">
        <f t="shared" si="0"/>
        <v>1.9</v>
      </c>
      <c r="G63" s="77">
        <v>559.88599999999997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561.78599999999994</v>
      </c>
      <c r="R63" s="47"/>
    </row>
    <row r="64" spans="1:18">
      <c r="A64" s="176" t="s">
        <v>53</v>
      </c>
      <c r="B64" s="177" t="s">
        <v>54</v>
      </c>
      <c r="C64" s="192" t="s">
        <v>13</v>
      </c>
      <c r="D64" s="231"/>
      <c r="E64" s="232">
        <v>151.19999999999999</v>
      </c>
      <c r="F64" s="178">
        <f t="shared" si="0"/>
        <v>151.19999999999999</v>
      </c>
      <c r="G64" s="78">
        <v>76600.748000000007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76751.948000000004</v>
      </c>
      <c r="R64" s="47"/>
    </row>
    <row r="65" spans="1:18">
      <c r="A65" s="176" t="s">
        <v>0</v>
      </c>
      <c r="B65" s="306" t="s">
        <v>55</v>
      </c>
      <c r="C65" s="32" t="s">
        <v>11</v>
      </c>
      <c r="D65" s="228"/>
      <c r="E65" s="228"/>
      <c r="F65" s="181">
        <f t="shared" si="0"/>
        <v>0</v>
      </c>
      <c r="G65" s="77">
        <v>577.47</v>
      </c>
      <c r="H65" s="77"/>
      <c r="I65" s="174"/>
      <c r="J65" s="181">
        <f t="shared" si="1"/>
        <v>0</v>
      </c>
      <c r="K65" s="77"/>
      <c r="L65" s="33"/>
      <c r="M65" s="33"/>
      <c r="N65" s="33"/>
      <c r="O65" s="33"/>
      <c r="P65" s="33"/>
      <c r="Q65" s="175">
        <f t="shared" si="2"/>
        <v>577.47</v>
      </c>
      <c r="R65" s="47"/>
    </row>
    <row r="66" spans="1:18">
      <c r="A66" s="176" t="s">
        <v>18</v>
      </c>
      <c r="B66" s="307"/>
      <c r="C66" s="192" t="s">
        <v>13</v>
      </c>
      <c r="D66" s="230"/>
      <c r="E66" s="225"/>
      <c r="F66" s="178">
        <f t="shared" si="0"/>
        <v>0</v>
      </c>
      <c r="G66" s="78">
        <v>63275.902999999998</v>
      </c>
      <c r="H66" s="78"/>
      <c r="I66" s="179"/>
      <c r="J66" s="178">
        <f t="shared" si="1"/>
        <v>0</v>
      </c>
      <c r="K66" s="78"/>
      <c r="L66" s="54"/>
      <c r="M66" s="54"/>
      <c r="N66" s="54"/>
      <c r="O66" s="54"/>
      <c r="P66" s="54"/>
      <c r="Q66" s="180">
        <f t="shared" si="2"/>
        <v>63275.902999999998</v>
      </c>
      <c r="R66" s="47"/>
    </row>
    <row r="67" spans="1:18">
      <c r="A67" s="27"/>
      <c r="B67" s="46" t="s">
        <v>15</v>
      </c>
      <c r="C67" s="32" t="s">
        <v>11</v>
      </c>
      <c r="D67" s="229"/>
      <c r="E67" s="224">
        <v>0.20799999999999999</v>
      </c>
      <c r="F67" s="181">
        <f t="shared" si="0"/>
        <v>0.20799999999999999</v>
      </c>
      <c r="G67" s="77">
        <v>82.343999999999994</v>
      </c>
      <c r="H67" s="77"/>
      <c r="I67" s="174"/>
      <c r="J67" s="181">
        <f t="shared" si="1"/>
        <v>0</v>
      </c>
      <c r="K67" s="77"/>
      <c r="L67" s="33"/>
      <c r="M67" s="33"/>
      <c r="N67" s="33"/>
      <c r="O67" s="33"/>
      <c r="P67" s="33"/>
      <c r="Q67" s="175">
        <f t="shared" si="2"/>
        <v>82.551999999999992</v>
      </c>
      <c r="R67" s="47"/>
    </row>
    <row r="68" spans="1:18" ht="19.5" thickBot="1">
      <c r="A68" s="184" t="s">
        <v>0</v>
      </c>
      <c r="B68" s="51" t="s">
        <v>54</v>
      </c>
      <c r="C68" s="36" t="s">
        <v>13</v>
      </c>
      <c r="D68" s="238"/>
      <c r="E68" s="232">
        <v>1.36</v>
      </c>
      <c r="F68" s="185">
        <f t="shared" si="0"/>
        <v>1.36</v>
      </c>
      <c r="G68" s="104">
        <v>11225.045</v>
      </c>
      <c r="H68" s="104"/>
      <c r="I68" s="186"/>
      <c r="J68" s="185">
        <f t="shared" si="1"/>
        <v>0</v>
      </c>
      <c r="K68" s="104"/>
      <c r="L68" s="37"/>
      <c r="M68" s="37"/>
      <c r="N68" s="37"/>
      <c r="O68" s="37"/>
      <c r="P68" s="37"/>
      <c r="Q68" s="187">
        <f t="shared" si="2"/>
        <v>11226.405000000001</v>
      </c>
      <c r="R68" s="47"/>
    </row>
    <row r="69" spans="1:18">
      <c r="D69" s="239"/>
      <c r="E69" s="239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107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50">
        <f t="shared" ref="D76:D77" si="25">D61+D63+D65+D67</f>
        <v>0.28000000000000003</v>
      </c>
      <c r="E76" s="33">
        <f t="shared" ref="E76:E77" si="26">+E61+E63+E65+E67</f>
        <v>2.1080000000000001</v>
      </c>
      <c r="F76" s="191">
        <f t="shared" ref="F76:F133" si="27">SUM(D76:E76)</f>
        <v>2.3879999999999999</v>
      </c>
      <c r="G76" s="49">
        <f t="shared" ref="G76:H77" si="28">+G61+G63+G65+G67</f>
        <v>1219.7</v>
      </c>
      <c r="H76" s="49">
        <f t="shared" si="28"/>
        <v>1.0920000000000001</v>
      </c>
      <c r="I76" s="50"/>
      <c r="J76" s="191">
        <f t="shared" ref="J76:J133" si="29">SUM(H76:I76)</f>
        <v>1.0920000000000001</v>
      </c>
      <c r="K76" s="49"/>
      <c r="L76" s="33">
        <f t="shared" ref="L76:L77" si="30">+L61+L63+L65+L67</f>
        <v>2E-3</v>
      </c>
      <c r="M76" s="33"/>
      <c r="N76" s="33"/>
      <c r="O76" s="33"/>
      <c r="P76" s="33"/>
      <c r="Q76" s="175">
        <f t="shared" ref="Q76:Q140" si="31">SUM(F76:G76,J76:P76)</f>
        <v>1223.182</v>
      </c>
      <c r="R76" s="27"/>
    </row>
    <row r="77" spans="1:18">
      <c r="A77" s="166" t="s">
        <v>53</v>
      </c>
      <c r="B77" s="309"/>
      <c r="C77" s="192" t="s">
        <v>13</v>
      </c>
      <c r="D77" s="63">
        <f t="shared" si="25"/>
        <v>21.124800439577978</v>
      </c>
      <c r="E77" s="54">
        <f t="shared" si="26"/>
        <v>152.56</v>
      </c>
      <c r="F77" s="193">
        <f t="shared" si="27"/>
        <v>173.68480043957797</v>
      </c>
      <c r="G77" s="68">
        <f t="shared" si="28"/>
        <v>151101.69600000003</v>
      </c>
      <c r="H77" s="68">
        <f t="shared" si="28"/>
        <v>28.324000000000002</v>
      </c>
      <c r="I77" s="63"/>
      <c r="J77" s="193">
        <f t="shared" si="29"/>
        <v>28.324000000000002</v>
      </c>
      <c r="K77" s="68"/>
      <c r="L77" s="54">
        <f t="shared" si="30"/>
        <v>0.378</v>
      </c>
      <c r="M77" s="54"/>
      <c r="N77" s="54"/>
      <c r="O77" s="54"/>
      <c r="P77" s="54"/>
      <c r="Q77" s="180">
        <f t="shared" si="31"/>
        <v>151304.08280043959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229">
        <v>36.570300000000003</v>
      </c>
      <c r="E78" s="224">
        <v>35.084600000000002</v>
      </c>
      <c r="F78" s="191">
        <f t="shared" si="27"/>
        <v>71.654899999999998</v>
      </c>
      <c r="G78" s="77">
        <v>5.9696999999999996</v>
      </c>
      <c r="H78" s="77">
        <v>155.1516</v>
      </c>
      <c r="I78" s="174"/>
      <c r="J78" s="191">
        <f t="shared" si="29"/>
        <v>155.1516</v>
      </c>
      <c r="K78" s="77">
        <v>9.65</v>
      </c>
      <c r="L78" s="33">
        <v>5.1374000000000004</v>
      </c>
      <c r="M78" s="33"/>
      <c r="N78" s="33">
        <v>62.115000000000002</v>
      </c>
      <c r="O78" s="33">
        <v>29.961500000000001</v>
      </c>
      <c r="P78" s="33">
        <v>51.140250000000002</v>
      </c>
      <c r="Q78" s="175">
        <f t="shared" si="31"/>
        <v>390.78035</v>
      </c>
      <c r="R78" s="27"/>
    </row>
    <row r="79" spans="1:18">
      <c r="A79" s="176" t="s">
        <v>31</v>
      </c>
      <c r="B79" s="307"/>
      <c r="C79" s="192" t="s">
        <v>13</v>
      </c>
      <c r="D79" s="114">
        <v>14331.37349821613</v>
      </c>
      <c r="E79" s="114">
        <v>16456.228999999999</v>
      </c>
      <c r="F79" s="193">
        <f t="shared" si="27"/>
        <v>30787.602498216129</v>
      </c>
      <c r="G79" s="78">
        <v>3531.873</v>
      </c>
      <c r="H79" s="78">
        <v>55428.417000000001</v>
      </c>
      <c r="I79" s="179"/>
      <c r="J79" s="193">
        <f t="shared" si="29"/>
        <v>55428.417000000001</v>
      </c>
      <c r="K79" s="78">
        <v>3838.1320000000001</v>
      </c>
      <c r="L79" s="54">
        <v>2865.0540000000001</v>
      </c>
      <c r="M79" s="54"/>
      <c r="N79" s="54">
        <v>23059.917000000001</v>
      </c>
      <c r="O79" s="54">
        <v>10309.308999999999</v>
      </c>
      <c r="P79" s="54">
        <f>14589.704*1.08</f>
        <v>15756.88032</v>
      </c>
      <c r="Q79" s="180">
        <f t="shared" si="31"/>
        <v>145577.18481821613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229"/>
      <c r="E80" s="224">
        <v>1.7999999999999999E-2</v>
      </c>
      <c r="F80" s="191">
        <f t="shared" si="27"/>
        <v>1.7999999999999999E-2</v>
      </c>
      <c r="G80" s="77"/>
      <c r="H80" s="77">
        <v>2.3317999999999999</v>
      </c>
      <c r="I80" s="174"/>
      <c r="J80" s="191">
        <f t="shared" si="29"/>
        <v>2.3317999999999999</v>
      </c>
      <c r="K80" s="77">
        <v>1.4E-2</v>
      </c>
      <c r="L80" s="33"/>
      <c r="M80" s="33"/>
      <c r="N80" s="33"/>
      <c r="O80" s="33"/>
      <c r="P80" s="33"/>
      <c r="Q80" s="175">
        <f t="shared" si="31"/>
        <v>2.3637999999999995</v>
      </c>
      <c r="R80" s="27"/>
    </row>
    <row r="81" spans="1:18">
      <c r="A81" s="176" t="s">
        <v>0</v>
      </c>
      <c r="B81" s="307"/>
      <c r="C81" s="192" t="s">
        <v>13</v>
      </c>
      <c r="D81" s="230"/>
      <c r="E81" s="225">
        <v>1.5329999999999999</v>
      </c>
      <c r="F81" s="193">
        <f t="shared" si="27"/>
        <v>1.5329999999999999</v>
      </c>
      <c r="G81" s="78"/>
      <c r="H81" s="78">
        <v>227.50700000000001</v>
      </c>
      <c r="I81" s="179"/>
      <c r="J81" s="193">
        <f t="shared" si="29"/>
        <v>227.50700000000001</v>
      </c>
      <c r="K81" s="78">
        <v>1.21</v>
      </c>
      <c r="L81" s="54"/>
      <c r="M81" s="54"/>
      <c r="N81" s="54"/>
      <c r="O81" s="54"/>
      <c r="P81" s="54"/>
      <c r="Q81" s="180">
        <f t="shared" si="31"/>
        <v>230.25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229"/>
      <c r="E82" s="224"/>
      <c r="F82" s="191">
        <f t="shared" si="27"/>
        <v>0</v>
      </c>
      <c r="G82" s="77"/>
      <c r="H82" s="77">
        <v>5.9999999999999995E-4</v>
      </c>
      <c r="I82" s="174"/>
      <c r="J82" s="191">
        <f t="shared" si="29"/>
        <v>5.9999999999999995E-4</v>
      </c>
      <c r="K82" s="77">
        <v>66.47</v>
      </c>
      <c r="L82" s="33"/>
      <c r="M82" s="33"/>
      <c r="N82" s="33"/>
      <c r="O82" s="33"/>
      <c r="P82" s="33"/>
      <c r="Q82" s="175">
        <f t="shared" si="31"/>
        <v>66.470600000000005</v>
      </c>
      <c r="R82" s="27"/>
    </row>
    <row r="83" spans="1:18">
      <c r="A83" s="176"/>
      <c r="B83" s="177" t="s">
        <v>61</v>
      </c>
      <c r="C83" s="192" t="s">
        <v>13</v>
      </c>
      <c r="D83" s="231"/>
      <c r="E83" s="232"/>
      <c r="F83" s="193">
        <f t="shared" si="27"/>
        <v>0</v>
      </c>
      <c r="G83" s="78"/>
      <c r="H83" s="78">
        <v>3.2000000000000001E-2</v>
      </c>
      <c r="I83" s="179"/>
      <c r="J83" s="193">
        <f t="shared" si="29"/>
        <v>3.2000000000000001E-2</v>
      </c>
      <c r="K83" s="78">
        <v>53341.966</v>
      </c>
      <c r="L83" s="54"/>
      <c r="M83" s="54"/>
      <c r="N83" s="54"/>
      <c r="O83" s="54"/>
      <c r="P83" s="54"/>
      <c r="Q83" s="180">
        <f t="shared" si="31"/>
        <v>53341.998</v>
      </c>
      <c r="R83" s="27"/>
    </row>
    <row r="84" spans="1:18">
      <c r="A84" s="176"/>
      <c r="B84" s="306" t="s">
        <v>62</v>
      </c>
      <c r="C84" s="32" t="s">
        <v>11</v>
      </c>
      <c r="D84" s="228"/>
      <c r="E84" s="228"/>
      <c r="F84" s="191">
        <f t="shared" si="27"/>
        <v>0</v>
      </c>
      <c r="G84" s="77"/>
      <c r="H84" s="77"/>
      <c r="I84" s="174"/>
      <c r="J84" s="191">
        <f t="shared" si="29"/>
        <v>0</v>
      </c>
      <c r="K84" s="77"/>
      <c r="L84" s="33"/>
      <c r="M84" s="33"/>
      <c r="N84" s="33"/>
      <c r="O84" s="33"/>
      <c r="P84" s="33"/>
      <c r="Q84" s="175">
        <f t="shared" si="31"/>
        <v>0</v>
      </c>
      <c r="R84" s="27"/>
    </row>
    <row r="85" spans="1:18">
      <c r="A85" s="176" t="s">
        <v>12</v>
      </c>
      <c r="B85" s="307"/>
      <c r="C85" s="192" t="s">
        <v>13</v>
      </c>
      <c r="D85" s="230"/>
      <c r="E85" s="240"/>
      <c r="F85" s="193">
        <f t="shared" si="27"/>
        <v>0</v>
      </c>
      <c r="G85" s="78"/>
      <c r="H85" s="78"/>
      <c r="I85" s="179"/>
      <c r="J85" s="193">
        <f t="shared" si="29"/>
        <v>0</v>
      </c>
      <c r="K85" s="78"/>
      <c r="L85" s="54"/>
      <c r="M85" s="54"/>
      <c r="N85" s="54"/>
      <c r="O85" s="54"/>
      <c r="P85" s="54"/>
      <c r="Q85" s="180">
        <f t="shared" si="31"/>
        <v>0</v>
      </c>
      <c r="R85" s="27"/>
    </row>
    <row r="86" spans="1:18">
      <c r="A86" s="176"/>
      <c r="B86" s="46" t="s">
        <v>15</v>
      </c>
      <c r="C86" s="32" t="s">
        <v>11</v>
      </c>
      <c r="D86" s="241">
        <v>4.0109000000000004</v>
      </c>
      <c r="E86" s="242">
        <v>14.5312</v>
      </c>
      <c r="F86" s="191">
        <f t="shared" si="27"/>
        <v>18.542100000000001</v>
      </c>
      <c r="G86" s="77">
        <v>4.1886999999999999</v>
      </c>
      <c r="H86" s="77">
        <v>111.3413</v>
      </c>
      <c r="I86" s="174"/>
      <c r="J86" s="191">
        <f t="shared" si="29"/>
        <v>111.3413</v>
      </c>
      <c r="K86" s="77">
        <v>3.1905000000000001</v>
      </c>
      <c r="L86" s="33">
        <v>5.2039999999999997</v>
      </c>
      <c r="M86" s="33">
        <v>2.0030999999999999</v>
      </c>
      <c r="N86" s="33">
        <v>21.6738</v>
      </c>
      <c r="O86" s="33">
        <v>3.1556000000000002</v>
      </c>
      <c r="P86" s="33">
        <v>14.6439</v>
      </c>
      <c r="Q86" s="175">
        <f t="shared" si="31"/>
        <v>183.94300000000001</v>
      </c>
      <c r="R86" s="27"/>
    </row>
    <row r="87" spans="1:18">
      <c r="A87" s="176"/>
      <c r="B87" s="177" t="s">
        <v>63</v>
      </c>
      <c r="C87" s="192" t="s">
        <v>13</v>
      </c>
      <c r="D87" s="243">
        <v>2416.1836102774505</v>
      </c>
      <c r="E87" s="91">
        <v>4778.3050000000003</v>
      </c>
      <c r="F87" s="193">
        <f t="shared" si="27"/>
        <v>7194.4886102774508</v>
      </c>
      <c r="G87" s="78">
        <v>3205.4360000000001</v>
      </c>
      <c r="H87" s="78">
        <v>22368.445</v>
      </c>
      <c r="I87" s="179"/>
      <c r="J87" s="193">
        <f t="shared" si="29"/>
        <v>22368.445</v>
      </c>
      <c r="K87" s="78">
        <v>762.79499999999996</v>
      </c>
      <c r="L87" s="54">
        <v>2432.4299999999998</v>
      </c>
      <c r="M87" s="54">
        <f>714.506*1.08</f>
        <v>771.66647999999998</v>
      </c>
      <c r="N87" s="54">
        <v>7147.5959999999995</v>
      </c>
      <c r="O87" s="54">
        <v>2362.8710000000001</v>
      </c>
      <c r="P87" s="54">
        <f>8725.105*1.08</f>
        <v>9423.1134000000002</v>
      </c>
      <c r="Q87" s="180">
        <f t="shared" si="31"/>
        <v>55668.841490277446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50">
        <f t="shared" ref="D88:D89" si="32">D78+D80+D82+D84+D86</f>
        <v>40.581200000000003</v>
      </c>
      <c r="E88" s="33">
        <f t="shared" ref="E88:E89" si="33">+E78+E80+E82+E84+E86</f>
        <v>49.633800000000001</v>
      </c>
      <c r="F88" s="191">
        <f t="shared" si="27"/>
        <v>90.215000000000003</v>
      </c>
      <c r="G88" s="49">
        <f t="shared" ref="G88:H89" si="34">+G78+G80+G82+G84+G86</f>
        <v>10.1584</v>
      </c>
      <c r="H88" s="49">
        <f t="shared" si="34"/>
        <v>268.82529999999997</v>
      </c>
      <c r="I88" s="50"/>
      <c r="J88" s="191">
        <f t="shared" si="29"/>
        <v>268.82529999999997</v>
      </c>
      <c r="K88" s="49">
        <f t="shared" ref="K88:P89" si="35">+K78+K80+K82+K84+K86</f>
        <v>79.3245</v>
      </c>
      <c r="L88" s="33">
        <f t="shared" si="35"/>
        <v>10.3414</v>
      </c>
      <c r="M88" s="33">
        <f t="shared" si="35"/>
        <v>2.0030999999999999</v>
      </c>
      <c r="N88" s="33">
        <f t="shared" si="35"/>
        <v>83.788800000000009</v>
      </c>
      <c r="O88" s="33">
        <f t="shared" si="35"/>
        <v>33.117100000000001</v>
      </c>
      <c r="P88" s="33">
        <f t="shared" si="35"/>
        <v>65.784149999999997</v>
      </c>
      <c r="Q88" s="175">
        <f t="shared" si="31"/>
        <v>643.55775000000006</v>
      </c>
      <c r="R88" s="27"/>
    </row>
    <row r="89" spans="1:18">
      <c r="A89" s="183"/>
      <c r="B89" s="309"/>
      <c r="C89" s="192" t="s">
        <v>13</v>
      </c>
      <c r="D89" s="63">
        <f t="shared" si="32"/>
        <v>16747.55710849358</v>
      </c>
      <c r="E89" s="54">
        <f t="shared" si="33"/>
        <v>21236.066999999999</v>
      </c>
      <c r="F89" s="193">
        <f t="shared" si="27"/>
        <v>37983.624108493575</v>
      </c>
      <c r="G89" s="68">
        <f t="shared" si="34"/>
        <v>6737.3090000000002</v>
      </c>
      <c r="H89" s="68">
        <f t="shared" si="34"/>
        <v>78024.400999999998</v>
      </c>
      <c r="I89" s="63"/>
      <c r="J89" s="193">
        <f t="shared" si="29"/>
        <v>78024.400999999998</v>
      </c>
      <c r="K89" s="68">
        <f t="shared" si="35"/>
        <v>57944.102999999996</v>
      </c>
      <c r="L89" s="54">
        <f t="shared" si="35"/>
        <v>5297.4840000000004</v>
      </c>
      <c r="M89" s="54">
        <f t="shared" si="35"/>
        <v>771.66647999999998</v>
      </c>
      <c r="N89" s="54">
        <f t="shared" si="35"/>
        <v>30207.512999999999</v>
      </c>
      <c r="O89" s="54">
        <f t="shared" si="35"/>
        <v>12672.18</v>
      </c>
      <c r="P89" s="54">
        <f t="shared" si="35"/>
        <v>25179.993719999999</v>
      </c>
      <c r="Q89" s="180">
        <f t="shared" si="31"/>
        <v>254818.27430849359</v>
      </c>
      <c r="R89" s="27"/>
    </row>
    <row r="90" spans="1:18">
      <c r="A90" s="310" t="s">
        <v>64</v>
      </c>
      <c r="B90" s="311"/>
      <c r="C90" s="32" t="s">
        <v>11</v>
      </c>
      <c r="D90" s="229">
        <v>0.60050000000000003</v>
      </c>
      <c r="E90" s="242">
        <v>1.6958</v>
      </c>
      <c r="F90" s="191">
        <f t="shared" si="27"/>
        <v>2.2963</v>
      </c>
      <c r="G90" s="77">
        <v>5.3525999999999998</v>
      </c>
      <c r="H90" s="77">
        <v>11.7776</v>
      </c>
      <c r="I90" s="174"/>
      <c r="J90" s="191">
        <f t="shared" si="29"/>
        <v>11.7776</v>
      </c>
      <c r="K90" s="77">
        <v>4.7952000000000004</v>
      </c>
      <c r="L90" s="33">
        <v>3.9527999999999999</v>
      </c>
      <c r="M90" s="33"/>
      <c r="N90" s="33">
        <v>0.34139999999999998</v>
      </c>
      <c r="O90" s="33">
        <v>5.7999999999999996E-3</v>
      </c>
      <c r="P90" s="33">
        <v>0.46360000000000001</v>
      </c>
      <c r="Q90" s="175">
        <f t="shared" si="31"/>
        <v>28.985299999999999</v>
      </c>
      <c r="R90" s="27"/>
    </row>
    <row r="91" spans="1:18">
      <c r="A91" s="312"/>
      <c r="B91" s="313"/>
      <c r="C91" s="192" t="s">
        <v>13</v>
      </c>
      <c r="D91" s="230">
        <v>869.89141810124136</v>
      </c>
      <c r="E91" s="74">
        <v>1821.165</v>
      </c>
      <c r="F91" s="193">
        <f t="shared" si="27"/>
        <v>2691.0564181012414</v>
      </c>
      <c r="G91" s="78">
        <v>6820.7640000000001</v>
      </c>
      <c r="H91" s="78">
        <v>11298.15</v>
      </c>
      <c r="I91" s="179"/>
      <c r="J91" s="193">
        <f t="shared" si="29"/>
        <v>11298.15</v>
      </c>
      <c r="K91" s="78">
        <v>4695.7730000000001</v>
      </c>
      <c r="L91" s="54">
        <v>4788.1220000000003</v>
      </c>
      <c r="M91" s="54"/>
      <c r="N91" s="54">
        <v>370.202</v>
      </c>
      <c r="O91" s="54">
        <v>4.3849999999999998</v>
      </c>
      <c r="P91" s="54">
        <f>547.46*1.08</f>
        <v>591.25680000000011</v>
      </c>
      <c r="Q91" s="180">
        <f t="shared" si="31"/>
        <v>31259.709218101241</v>
      </c>
      <c r="R91" s="27"/>
    </row>
    <row r="92" spans="1:18">
      <c r="A92" s="310" t="s">
        <v>65</v>
      </c>
      <c r="B92" s="311"/>
      <c r="C92" s="32" t="s">
        <v>11</v>
      </c>
      <c r="D92" s="229"/>
      <c r="E92" s="73"/>
      <c r="F92" s="191">
        <f t="shared" si="27"/>
        <v>0</v>
      </c>
      <c r="G92" s="77">
        <v>0.2445</v>
      </c>
      <c r="H92" s="77">
        <v>0.123</v>
      </c>
      <c r="I92" s="174"/>
      <c r="J92" s="191">
        <f t="shared" si="29"/>
        <v>0.123</v>
      </c>
      <c r="K92" s="77">
        <v>11.595000000000001</v>
      </c>
      <c r="L92" s="33">
        <v>4.4710000000000001</v>
      </c>
      <c r="M92" s="33"/>
      <c r="N92" s="33"/>
      <c r="O92" s="33"/>
      <c r="P92" s="33"/>
      <c r="Q92" s="175">
        <f t="shared" si="31"/>
        <v>16.433500000000002</v>
      </c>
      <c r="R92" s="27"/>
    </row>
    <row r="93" spans="1:18">
      <c r="A93" s="312"/>
      <c r="B93" s="313"/>
      <c r="C93" s="192" t="s">
        <v>13</v>
      </c>
      <c r="D93" s="230"/>
      <c r="E93" s="74"/>
      <c r="F93" s="193">
        <f t="shared" si="27"/>
        <v>0</v>
      </c>
      <c r="G93" s="78">
        <v>44.460999999999999</v>
      </c>
      <c r="H93" s="78">
        <v>3.9849999999999999</v>
      </c>
      <c r="I93" s="179"/>
      <c r="J93" s="193">
        <f t="shared" si="29"/>
        <v>3.9849999999999999</v>
      </c>
      <c r="K93" s="78">
        <v>668.46600000000001</v>
      </c>
      <c r="L93" s="54">
        <v>322.661</v>
      </c>
      <c r="M93" s="54"/>
      <c r="N93" s="54"/>
      <c r="O93" s="54"/>
      <c r="P93" s="54"/>
      <c r="Q93" s="180">
        <f t="shared" si="31"/>
        <v>1039.5730000000001</v>
      </c>
      <c r="R93" s="27"/>
    </row>
    <row r="94" spans="1:18">
      <c r="A94" s="310" t="s">
        <v>66</v>
      </c>
      <c r="B94" s="311"/>
      <c r="C94" s="32" t="s">
        <v>11</v>
      </c>
      <c r="D94" s="229"/>
      <c r="E94" s="73">
        <v>0.253</v>
      </c>
      <c r="F94" s="191">
        <f t="shared" si="27"/>
        <v>0.253</v>
      </c>
      <c r="G94" s="77">
        <v>6.0000000000000001E-3</v>
      </c>
      <c r="H94" s="77">
        <v>6.4799999999999996E-2</v>
      </c>
      <c r="I94" s="174"/>
      <c r="J94" s="191">
        <f t="shared" si="29"/>
        <v>6.4799999999999996E-2</v>
      </c>
      <c r="K94" s="77"/>
      <c r="L94" s="33"/>
      <c r="M94" s="33"/>
      <c r="N94" s="33"/>
      <c r="O94" s="33"/>
      <c r="P94" s="33"/>
      <c r="Q94" s="175">
        <f t="shared" si="31"/>
        <v>0.32379999999999998</v>
      </c>
      <c r="R94" s="27"/>
    </row>
    <row r="95" spans="1:18">
      <c r="A95" s="312"/>
      <c r="B95" s="313"/>
      <c r="C95" s="192" t="s">
        <v>13</v>
      </c>
      <c r="D95" s="230"/>
      <c r="E95" s="74">
        <v>76.334000000000003</v>
      </c>
      <c r="F95" s="193">
        <f t="shared" si="27"/>
        <v>76.334000000000003</v>
      </c>
      <c r="G95" s="78">
        <v>12.96</v>
      </c>
      <c r="H95" s="78">
        <v>149.321</v>
      </c>
      <c r="I95" s="179"/>
      <c r="J95" s="193">
        <f t="shared" si="29"/>
        <v>149.321</v>
      </c>
      <c r="K95" s="78"/>
      <c r="L95" s="54"/>
      <c r="M95" s="54"/>
      <c r="N95" s="54"/>
      <c r="O95" s="54"/>
      <c r="P95" s="54"/>
      <c r="Q95" s="180">
        <f t="shared" si="31"/>
        <v>238.61500000000001</v>
      </c>
      <c r="R95" s="27"/>
    </row>
    <row r="96" spans="1:18">
      <c r="A96" s="310" t="s">
        <v>67</v>
      </c>
      <c r="B96" s="311"/>
      <c r="C96" s="32" t="s">
        <v>11</v>
      </c>
      <c r="D96" s="229">
        <v>0.23400000000000001</v>
      </c>
      <c r="E96" s="73">
        <v>0.88590000000000002</v>
      </c>
      <c r="F96" s="191">
        <f t="shared" si="27"/>
        <v>1.1199000000000001</v>
      </c>
      <c r="G96" s="77">
        <v>1.5E-3</v>
      </c>
      <c r="H96" s="77">
        <v>23.2484</v>
      </c>
      <c r="I96" s="174"/>
      <c r="J96" s="191">
        <f t="shared" si="29"/>
        <v>23.2484</v>
      </c>
      <c r="K96" s="77">
        <v>0.39529999999999998</v>
      </c>
      <c r="L96" s="33"/>
      <c r="M96" s="33"/>
      <c r="N96" s="33"/>
      <c r="O96" s="33"/>
      <c r="P96" s="33"/>
      <c r="Q96" s="175">
        <f t="shared" si="31"/>
        <v>24.7651</v>
      </c>
      <c r="R96" s="27"/>
    </row>
    <row r="97" spans="1:18">
      <c r="A97" s="312"/>
      <c r="B97" s="313"/>
      <c r="C97" s="192" t="s">
        <v>13</v>
      </c>
      <c r="D97" s="114">
        <v>704.16001465259933</v>
      </c>
      <c r="E97" s="74">
        <v>1196.1759999999999</v>
      </c>
      <c r="F97" s="193">
        <f t="shared" si="27"/>
        <v>1900.3360146525993</v>
      </c>
      <c r="G97" s="78">
        <v>8.1</v>
      </c>
      <c r="H97" s="78">
        <v>32339.174999999999</v>
      </c>
      <c r="I97" s="179"/>
      <c r="J97" s="193">
        <f t="shared" si="29"/>
        <v>32339.174999999999</v>
      </c>
      <c r="K97" s="78">
        <v>220.601</v>
      </c>
      <c r="L97" s="54"/>
      <c r="M97" s="54"/>
      <c r="N97" s="54"/>
      <c r="O97" s="54"/>
      <c r="P97" s="54"/>
      <c r="Q97" s="180">
        <f t="shared" si="31"/>
        <v>34468.212014652599</v>
      </c>
      <c r="R97" s="27"/>
    </row>
    <row r="98" spans="1:18">
      <c r="A98" s="310" t="s">
        <v>68</v>
      </c>
      <c r="B98" s="311"/>
      <c r="C98" s="32" t="s">
        <v>11</v>
      </c>
      <c r="D98" s="229"/>
      <c r="E98" s="73"/>
      <c r="F98" s="191">
        <f t="shared" si="27"/>
        <v>0</v>
      </c>
      <c r="G98" s="77">
        <v>0</v>
      </c>
      <c r="H98" s="77">
        <v>1.4E-3</v>
      </c>
      <c r="I98" s="174"/>
      <c r="J98" s="191">
        <f t="shared" si="29"/>
        <v>1.4E-3</v>
      </c>
      <c r="K98" s="77">
        <v>5.0000000000000001E-4</v>
      </c>
      <c r="L98" s="33"/>
      <c r="M98" s="33"/>
      <c r="N98" s="33"/>
      <c r="O98" s="33"/>
      <c r="P98" s="33"/>
      <c r="Q98" s="175">
        <f t="shared" si="31"/>
        <v>1.9E-3</v>
      </c>
      <c r="R98" s="27"/>
    </row>
    <row r="99" spans="1:18">
      <c r="A99" s="312"/>
      <c r="B99" s="313"/>
      <c r="C99" s="192" t="s">
        <v>13</v>
      </c>
      <c r="D99" s="231"/>
      <c r="E99" s="84"/>
      <c r="F99" s="193">
        <f t="shared" si="27"/>
        <v>0</v>
      </c>
      <c r="G99" s="78">
        <v>10.551</v>
      </c>
      <c r="H99" s="78">
        <v>1.3819999999999999</v>
      </c>
      <c r="I99" s="179"/>
      <c r="J99" s="193">
        <f t="shared" si="29"/>
        <v>1.3819999999999999</v>
      </c>
      <c r="K99" s="78">
        <v>0.432</v>
      </c>
      <c r="L99" s="54"/>
      <c r="M99" s="54"/>
      <c r="N99" s="54"/>
      <c r="O99" s="54"/>
      <c r="P99" s="54"/>
      <c r="Q99" s="180">
        <f t="shared" si="31"/>
        <v>12.365</v>
      </c>
      <c r="R99" s="27"/>
    </row>
    <row r="100" spans="1:18">
      <c r="A100" s="310" t="s">
        <v>69</v>
      </c>
      <c r="B100" s="311"/>
      <c r="C100" s="32" t="s">
        <v>11</v>
      </c>
      <c r="D100" s="228"/>
      <c r="E100" s="244"/>
      <c r="F100" s="191">
        <f t="shared" si="27"/>
        <v>0</v>
      </c>
      <c r="G100" s="77"/>
      <c r="H100" s="77"/>
      <c r="I100" s="174"/>
      <c r="J100" s="191">
        <f t="shared" si="29"/>
        <v>0</v>
      </c>
      <c r="K100" s="77"/>
      <c r="L100" s="33"/>
      <c r="M100" s="33"/>
      <c r="N100" s="33"/>
      <c r="O100" s="33"/>
      <c r="P100" s="33"/>
      <c r="Q100" s="175">
        <f t="shared" si="31"/>
        <v>0</v>
      </c>
      <c r="R100" s="27"/>
    </row>
    <row r="101" spans="1:18">
      <c r="A101" s="312"/>
      <c r="B101" s="313"/>
      <c r="C101" s="192" t="s">
        <v>13</v>
      </c>
      <c r="D101" s="231"/>
      <c r="E101" s="84"/>
      <c r="F101" s="193">
        <f t="shared" si="27"/>
        <v>0</v>
      </c>
      <c r="G101" s="78"/>
      <c r="H101" s="78"/>
      <c r="I101" s="179"/>
      <c r="J101" s="193">
        <f t="shared" si="29"/>
        <v>0</v>
      </c>
      <c r="K101" s="78"/>
      <c r="L101" s="54"/>
      <c r="M101" s="54"/>
      <c r="N101" s="54"/>
      <c r="O101" s="54"/>
      <c r="P101" s="54"/>
      <c r="Q101" s="180">
        <f t="shared" si="31"/>
        <v>0</v>
      </c>
      <c r="R101" s="27"/>
    </row>
    <row r="102" spans="1:18">
      <c r="A102" s="310" t="s">
        <v>70</v>
      </c>
      <c r="B102" s="311"/>
      <c r="C102" s="32" t="s">
        <v>11</v>
      </c>
      <c r="D102" s="228">
        <v>3.6251000000000002</v>
      </c>
      <c r="E102" s="242">
        <v>1357.6451999999999</v>
      </c>
      <c r="F102" s="191">
        <f t="shared" si="27"/>
        <v>1361.2702999999999</v>
      </c>
      <c r="G102" s="77">
        <v>69.505099999999999</v>
      </c>
      <c r="H102" s="77">
        <v>1299.8148000000001</v>
      </c>
      <c r="I102" s="174"/>
      <c r="J102" s="191">
        <f t="shared" si="29"/>
        <v>1299.8148000000001</v>
      </c>
      <c r="K102" s="77">
        <v>31.036899999999999</v>
      </c>
      <c r="L102" s="33">
        <v>17.889399999999998</v>
      </c>
      <c r="M102" s="33"/>
      <c r="N102" s="33">
        <v>74.053600000000003</v>
      </c>
      <c r="O102" s="33">
        <v>4.4560000000000004</v>
      </c>
      <c r="P102" s="33">
        <v>1.8934</v>
      </c>
      <c r="Q102" s="175">
        <f t="shared" si="31"/>
        <v>2859.9195000000004</v>
      </c>
      <c r="R102" s="27"/>
    </row>
    <row r="103" spans="1:18">
      <c r="A103" s="312"/>
      <c r="B103" s="313"/>
      <c r="C103" s="192" t="s">
        <v>13</v>
      </c>
      <c r="D103" s="235">
        <v>6131.0812875793499</v>
      </c>
      <c r="E103" s="91">
        <v>574121.60699999996</v>
      </c>
      <c r="F103" s="193">
        <f t="shared" si="27"/>
        <v>580252.68828757934</v>
      </c>
      <c r="G103" s="78">
        <v>10926.321</v>
      </c>
      <c r="H103" s="78">
        <v>668564.75699999998</v>
      </c>
      <c r="I103" s="179"/>
      <c r="J103" s="193">
        <f t="shared" si="29"/>
        <v>668564.75699999998</v>
      </c>
      <c r="K103" s="78">
        <v>4299.01</v>
      </c>
      <c r="L103" s="54">
        <v>5539.9009999999998</v>
      </c>
      <c r="M103" s="54"/>
      <c r="N103" s="54">
        <v>21473.651000000002</v>
      </c>
      <c r="O103" s="54">
        <v>3003.7570000000001</v>
      </c>
      <c r="P103" s="54">
        <f>997.548*1.08</f>
        <v>1077.35184</v>
      </c>
      <c r="Q103" s="180">
        <f t="shared" si="31"/>
        <v>1295137.4371275792</v>
      </c>
      <c r="R103" s="27"/>
    </row>
    <row r="104" spans="1:18">
      <c r="A104" s="314" t="s">
        <v>71</v>
      </c>
      <c r="B104" s="315"/>
      <c r="C104" s="32" t="s">
        <v>11</v>
      </c>
      <c r="D104" s="50">
        <f t="shared" ref="D104:D105" si="36">D9+D11+D23+D29+D37+D39+D41+D43+D45+D47+D49+D51+D53+D59+D76+D88+D90+D92+D94+D96+D98+D100+D102</f>
        <v>323.22369999999995</v>
      </c>
      <c r="E104" s="33">
        <f t="shared" ref="E104:E105" si="37">+E9+E11+E23+E29+E37+E39+E41+E43+E45+E47+E49+E51+E53+E59+E76+E88+E90+E92+E94+E96+E98+E100+E102</f>
        <v>1652.7739999999999</v>
      </c>
      <c r="F104" s="191">
        <f t="shared" si="27"/>
        <v>1975.9976999999999</v>
      </c>
      <c r="G104" s="49">
        <f t="shared" ref="G104:H105" si="38">+G9+G11+G23+G29+G37+G39+G41+G43+G45+G47+G49+G51+G53+G59+G76+G88+G90+G92+G94+G96+G98+G100+G102</f>
        <v>5929.418700000002</v>
      </c>
      <c r="H104" s="49">
        <f t="shared" si="38"/>
        <v>11217.490600000001</v>
      </c>
      <c r="I104" s="50"/>
      <c r="J104" s="191">
        <f t="shared" si="29"/>
        <v>11217.490600000001</v>
      </c>
      <c r="K104" s="49">
        <f t="shared" ref="K104:P105" si="39">+K9+K11+K23+K29+K37+K39+K41+K43+K45+K47+K49+K51+K53+K59+K76+K88+K90+K92+K94+K96+K98+K100+K102</f>
        <v>2841.4508000000005</v>
      </c>
      <c r="L104" s="33">
        <f t="shared" si="39"/>
        <v>310.56735000000003</v>
      </c>
      <c r="M104" s="33">
        <f t="shared" si="39"/>
        <v>2.0030999999999999</v>
      </c>
      <c r="N104" s="33">
        <f t="shared" si="39"/>
        <v>165.66570000000002</v>
      </c>
      <c r="O104" s="33">
        <f t="shared" si="39"/>
        <v>37.591300000000004</v>
      </c>
      <c r="P104" s="33">
        <f t="shared" si="39"/>
        <v>68.917249999999996</v>
      </c>
      <c r="Q104" s="175">
        <f t="shared" si="31"/>
        <v>22549.102500000008</v>
      </c>
      <c r="R104" s="27"/>
    </row>
    <row r="105" spans="1:18">
      <c r="A105" s="316"/>
      <c r="B105" s="317"/>
      <c r="C105" s="192" t="s">
        <v>13</v>
      </c>
      <c r="D105" s="63">
        <f t="shared" si="36"/>
        <v>183699.62626253604</v>
      </c>
      <c r="E105" s="54">
        <f t="shared" si="37"/>
        <v>719642.85800000001</v>
      </c>
      <c r="F105" s="193">
        <f t="shared" si="27"/>
        <v>903342.48426253605</v>
      </c>
      <c r="G105" s="68">
        <f t="shared" si="38"/>
        <v>1397368.1879999998</v>
      </c>
      <c r="H105" s="68">
        <f t="shared" si="38"/>
        <v>1989550.986</v>
      </c>
      <c r="I105" s="63"/>
      <c r="J105" s="193">
        <f t="shared" si="29"/>
        <v>1989550.986</v>
      </c>
      <c r="K105" s="68">
        <f t="shared" si="39"/>
        <v>1064584.0250000001</v>
      </c>
      <c r="L105" s="54">
        <f t="shared" si="39"/>
        <v>181512.40399999998</v>
      </c>
      <c r="M105" s="54">
        <f t="shared" si="39"/>
        <v>771.66647999999998</v>
      </c>
      <c r="N105" s="54">
        <f t="shared" si="39"/>
        <v>53558.468000000001</v>
      </c>
      <c r="O105" s="54">
        <f t="shared" si="39"/>
        <v>15684.987000000001</v>
      </c>
      <c r="P105" s="54">
        <f t="shared" si="39"/>
        <v>27249.996239999997</v>
      </c>
      <c r="Q105" s="180">
        <f t="shared" si="31"/>
        <v>5633623.2049825368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229"/>
      <c r="E106" s="73"/>
      <c r="F106" s="191">
        <f t="shared" si="27"/>
        <v>0</v>
      </c>
      <c r="G106" s="77">
        <v>0</v>
      </c>
      <c r="H106" s="77">
        <v>0.79090000000000005</v>
      </c>
      <c r="I106" s="174"/>
      <c r="J106" s="191">
        <f t="shared" si="29"/>
        <v>0.79090000000000005</v>
      </c>
      <c r="K106" s="77">
        <v>3.5700000000000003E-2</v>
      </c>
      <c r="L106" s="33"/>
      <c r="M106" s="33"/>
      <c r="N106" s="33"/>
      <c r="O106" s="33">
        <v>-0.45500000000000002</v>
      </c>
      <c r="P106" s="33"/>
      <c r="Q106" s="175">
        <f t="shared" si="31"/>
        <v>0.37159999999999999</v>
      </c>
      <c r="R106" s="27"/>
    </row>
    <row r="107" spans="1:18">
      <c r="A107" s="172" t="s">
        <v>0</v>
      </c>
      <c r="B107" s="307"/>
      <c r="C107" s="192" t="s">
        <v>13</v>
      </c>
      <c r="D107" s="230"/>
      <c r="E107" s="245"/>
      <c r="F107" s="193">
        <f t="shared" si="27"/>
        <v>0</v>
      </c>
      <c r="G107" s="78">
        <v>540</v>
      </c>
      <c r="H107" s="78">
        <v>1485.5530000000001</v>
      </c>
      <c r="I107" s="179"/>
      <c r="J107" s="193">
        <f t="shared" si="29"/>
        <v>1485.5530000000001</v>
      </c>
      <c r="K107" s="78">
        <v>114.77200000000001</v>
      </c>
      <c r="L107" s="54"/>
      <c r="M107" s="54"/>
      <c r="N107" s="54"/>
      <c r="O107" s="54">
        <v>610.25400000000002</v>
      </c>
      <c r="P107" s="54"/>
      <c r="Q107" s="180">
        <f t="shared" si="31"/>
        <v>2750.5790000000002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229">
        <v>3.0326</v>
      </c>
      <c r="E108" s="224">
        <v>0.58760000000000001</v>
      </c>
      <c r="F108" s="191">
        <f t="shared" si="27"/>
        <v>3.6202000000000001</v>
      </c>
      <c r="G108" s="77">
        <v>12.5954</v>
      </c>
      <c r="H108" s="77">
        <v>49.120399999999997</v>
      </c>
      <c r="I108" s="174"/>
      <c r="J108" s="191">
        <f t="shared" si="29"/>
        <v>49.120399999999997</v>
      </c>
      <c r="K108" s="77">
        <v>12.9664</v>
      </c>
      <c r="L108" s="33">
        <v>32.900199999999998</v>
      </c>
      <c r="M108" s="33"/>
      <c r="N108" s="33">
        <v>0.2422</v>
      </c>
      <c r="O108" s="33">
        <v>2.8872</v>
      </c>
      <c r="P108" s="33">
        <v>0.32569999999999999</v>
      </c>
      <c r="Q108" s="175">
        <f t="shared" si="31"/>
        <v>114.65769999999999</v>
      </c>
      <c r="R108" s="27"/>
    </row>
    <row r="109" spans="1:18">
      <c r="A109" s="176" t="s">
        <v>0</v>
      </c>
      <c r="B109" s="307"/>
      <c r="C109" s="192" t="s">
        <v>13</v>
      </c>
      <c r="D109" s="231">
        <v>1597.7185532463207</v>
      </c>
      <c r="E109" s="232">
        <v>336.53899999999999</v>
      </c>
      <c r="F109" s="193">
        <f t="shared" si="27"/>
        <v>1934.2575532463206</v>
      </c>
      <c r="G109" s="78">
        <v>6811.402</v>
      </c>
      <c r="H109" s="78">
        <v>20628.831999999999</v>
      </c>
      <c r="I109" s="179"/>
      <c r="J109" s="193">
        <f t="shared" si="29"/>
        <v>20628.831999999999</v>
      </c>
      <c r="K109" s="78">
        <v>6338.6989999999996</v>
      </c>
      <c r="L109" s="54">
        <v>19000.465</v>
      </c>
      <c r="M109" s="54"/>
      <c r="N109" s="54">
        <v>87.228999999999999</v>
      </c>
      <c r="O109" s="54">
        <v>1264.288</v>
      </c>
      <c r="P109" s="54">
        <f>153.79*1.08</f>
        <v>166.0932</v>
      </c>
      <c r="Q109" s="180">
        <f t="shared" si="31"/>
        <v>56231.265753246327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228">
        <v>0.33600000000000002</v>
      </c>
      <c r="E110" s="228">
        <v>1.3665</v>
      </c>
      <c r="F110" s="191">
        <f t="shared" si="27"/>
        <v>1.7025000000000001</v>
      </c>
      <c r="G110" s="77">
        <v>1.3144</v>
      </c>
      <c r="H110" s="77">
        <v>99.069599999999994</v>
      </c>
      <c r="I110" s="174"/>
      <c r="J110" s="191">
        <f t="shared" si="29"/>
        <v>99.069599999999994</v>
      </c>
      <c r="K110" s="77">
        <v>47.555</v>
      </c>
      <c r="L110" s="33">
        <v>0.95830000000000004</v>
      </c>
      <c r="M110" s="33"/>
      <c r="N110" s="33">
        <v>0.17169999999999999</v>
      </c>
      <c r="O110" s="33"/>
      <c r="P110" s="33"/>
      <c r="Q110" s="175">
        <f t="shared" si="31"/>
        <v>150.7715</v>
      </c>
      <c r="R110" s="27"/>
    </row>
    <row r="111" spans="1:18">
      <c r="A111" s="176"/>
      <c r="B111" s="307"/>
      <c r="C111" s="192" t="s">
        <v>13</v>
      </c>
      <c r="D111" s="231">
        <v>100.71540209574869</v>
      </c>
      <c r="E111" s="232">
        <v>452.536</v>
      </c>
      <c r="F111" s="193">
        <f t="shared" si="27"/>
        <v>553.25140209574874</v>
      </c>
      <c r="G111" s="78">
        <v>547.09199999999998</v>
      </c>
      <c r="H111" s="78">
        <v>10303.673000000001</v>
      </c>
      <c r="I111" s="179"/>
      <c r="J111" s="193">
        <f t="shared" si="29"/>
        <v>10303.673000000001</v>
      </c>
      <c r="K111" s="78">
        <v>2939.3209999999999</v>
      </c>
      <c r="L111" s="54">
        <v>257.19099999999997</v>
      </c>
      <c r="M111" s="54"/>
      <c r="N111" s="54">
        <v>51.962000000000003</v>
      </c>
      <c r="O111" s="54"/>
      <c r="P111" s="54"/>
      <c r="Q111" s="180">
        <f t="shared" si="31"/>
        <v>14652.490402095749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228"/>
      <c r="E112" s="228">
        <v>0.20619999999999999</v>
      </c>
      <c r="F112" s="191">
        <f t="shared" si="27"/>
        <v>0.20619999999999999</v>
      </c>
      <c r="G112" s="77">
        <v>0.1477</v>
      </c>
      <c r="H112" s="77">
        <v>7.1863000000000001</v>
      </c>
      <c r="I112" s="174"/>
      <c r="J112" s="191">
        <f t="shared" si="29"/>
        <v>7.1863000000000001</v>
      </c>
      <c r="K112" s="77">
        <v>0.13780000000000001</v>
      </c>
      <c r="L112" s="33">
        <v>9.5799999999999996E-2</v>
      </c>
      <c r="M112" s="33"/>
      <c r="N112" s="33"/>
      <c r="O112" s="33"/>
      <c r="P112" s="33">
        <v>0.12280000000000001</v>
      </c>
      <c r="Q112" s="175">
        <f t="shared" si="31"/>
        <v>7.8966000000000003</v>
      </c>
      <c r="R112" s="27"/>
    </row>
    <row r="113" spans="1:18">
      <c r="A113" s="176"/>
      <c r="B113" s="307"/>
      <c r="C113" s="192" t="s">
        <v>13</v>
      </c>
      <c r="D113" s="230"/>
      <c r="E113" s="225">
        <v>551.351</v>
      </c>
      <c r="F113" s="193">
        <f t="shared" si="27"/>
        <v>551.351</v>
      </c>
      <c r="G113" s="78">
        <v>105.489</v>
      </c>
      <c r="H113" s="78">
        <v>15238.84</v>
      </c>
      <c r="I113" s="179"/>
      <c r="J113" s="193">
        <f t="shared" si="29"/>
        <v>15238.84</v>
      </c>
      <c r="K113" s="78">
        <v>262.79599999999999</v>
      </c>
      <c r="L113" s="54">
        <v>92.727999999999994</v>
      </c>
      <c r="M113" s="54"/>
      <c r="N113" s="54"/>
      <c r="O113" s="54"/>
      <c r="P113" s="54">
        <f>202.11*1.08</f>
        <v>218.27880000000002</v>
      </c>
      <c r="Q113" s="180">
        <f t="shared" si="31"/>
        <v>16469.482799999998</v>
      </c>
      <c r="R113" s="27"/>
    </row>
    <row r="114" spans="1:18">
      <c r="A114" s="176"/>
      <c r="B114" s="306" t="s">
        <v>78</v>
      </c>
      <c r="C114" s="32" t="s">
        <v>11</v>
      </c>
      <c r="D114" s="229">
        <v>0.24299999999999999</v>
      </c>
      <c r="E114" s="224">
        <v>0.42770000000000002</v>
      </c>
      <c r="F114" s="191">
        <f t="shared" si="27"/>
        <v>0.67070000000000007</v>
      </c>
      <c r="G114" s="77">
        <v>0.78549999999999998</v>
      </c>
      <c r="H114" s="77">
        <v>1.7847999999999999</v>
      </c>
      <c r="I114" s="174"/>
      <c r="J114" s="191">
        <f t="shared" si="29"/>
        <v>1.7847999999999999</v>
      </c>
      <c r="K114" s="77">
        <v>0.1143</v>
      </c>
      <c r="L114" s="33">
        <v>0.48509999999999998</v>
      </c>
      <c r="M114" s="33">
        <v>0.379</v>
      </c>
      <c r="N114" s="33">
        <v>0.96319999999999995</v>
      </c>
      <c r="O114" s="33">
        <v>2.6499999999999999E-2</v>
      </c>
      <c r="P114" s="33">
        <v>7.4526000000000003</v>
      </c>
      <c r="Q114" s="175">
        <f t="shared" si="31"/>
        <v>12.6617</v>
      </c>
      <c r="R114" s="27"/>
    </row>
    <row r="115" spans="1:18">
      <c r="A115" s="176"/>
      <c r="B115" s="307"/>
      <c r="C115" s="192" t="s">
        <v>13</v>
      </c>
      <c r="D115" s="231">
        <v>140.04900291422672</v>
      </c>
      <c r="E115" s="232">
        <v>137.209</v>
      </c>
      <c r="F115" s="193">
        <f t="shared" si="27"/>
        <v>277.25800291422672</v>
      </c>
      <c r="G115" s="78">
        <v>644.97500000000002</v>
      </c>
      <c r="H115" s="78">
        <v>2538.7249999999999</v>
      </c>
      <c r="I115" s="179"/>
      <c r="J115" s="193">
        <f t="shared" si="29"/>
        <v>2538.7249999999999</v>
      </c>
      <c r="K115" s="78">
        <v>54.902000000000001</v>
      </c>
      <c r="L115" s="54">
        <v>292.22199999999998</v>
      </c>
      <c r="M115" s="54">
        <f>136.61*1.08</f>
        <v>147.53880000000004</v>
      </c>
      <c r="N115" s="54">
        <v>468.21800000000002</v>
      </c>
      <c r="O115" s="54">
        <v>8.5860000000000003</v>
      </c>
      <c r="P115" s="54">
        <f>3425.76*1.08</f>
        <v>3699.8208000000004</v>
      </c>
      <c r="Q115" s="180">
        <f t="shared" si="31"/>
        <v>8132.2456029142277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228"/>
      <c r="E116" s="228"/>
      <c r="F116" s="191">
        <f t="shared" si="27"/>
        <v>0</v>
      </c>
      <c r="G116" s="77"/>
      <c r="H116" s="77"/>
      <c r="I116" s="174"/>
      <c r="J116" s="191">
        <f t="shared" si="29"/>
        <v>0</v>
      </c>
      <c r="K116" s="77">
        <v>0.02</v>
      </c>
      <c r="L116" s="33"/>
      <c r="M116" s="33"/>
      <c r="N116" s="33"/>
      <c r="O116" s="33"/>
      <c r="P116" s="33"/>
      <c r="Q116" s="175">
        <f t="shared" si="31"/>
        <v>0.02</v>
      </c>
      <c r="R116" s="27"/>
    </row>
    <row r="117" spans="1:18">
      <c r="A117" s="176"/>
      <c r="B117" s="307"/>
      <c r="C117" s="192" t="s">
        <v>13</v>
      </c>
      <c r="D117" s="230"/>
      <c r="E117" s="225"/>
      <c r="F117" s="193">
        <f t="shared" si="27"/>
        <v>0</v>
      </c>
      <c r="G117" s="78"/>
      <c r="H117" s="78"/>
      <c r="I117" s="179"/>
      <c r="J117" s="193">
        <f t="shared" si="29"/>
        <v>0</v>
      </c>
      <c r="K117" s="78">
        <v>14.04</v>
      </c>
      <c r="L117" s="54"/>
      <c r="M117" s="54"/>
      <c r="N117" s="54"/>
      <c r="O117" s="54"/>
      <c r="P117" s="54"/>
      <c r="Q117" s="180">
        <f t="shared" si="31"/>
        <v>14.04</v>
      </c>
      <c r="R117" s="27"/>
    </row>
    <row r="118" spans="1:18">
      <c r="A118" s="176"/>
      <c r="B118" s="306" t="s">
        <v>81</v>
      </c>
      <c r="C118" s="32" t="s">
        <v>11</v>
      </c>
      <c r="D118" s="229">
        <v>3.0000000000000001E-3</v>
      </c>
      <c r="E118" s="224">
        <v>8.3999999999999995E-3</v>
      </c>
      <c r="F118" s="191">
        <f t="shared" si="27"/>
        <v>1.14E-2</v>
      </c>
      <c r="G118" s="77"/>
      <c r="H118" s="77"/>
      <c r="I118" s="174"/>
      <c r="J118" s="191">
        <f t="shared" si="29"/>
        <v>0</v>
      </c>
      <c r="K118" s="77">
        <v>0.50360000000000005</v>
      </c>
      <c r="L118" s="33"/>
      <c r="M118" s="33"/>
      <c r="N118" s="33"/>
      <c r="O118" s="33"/>
      <c r="P118" s="33"/>
      <c r="Q118" s="175">
        <f t="shared" si="31"/>
        <v>0.51500000000000001</v>
      </c>
      <c r="R118" s="27"/>
    </row>
    <row r="119" spans="1:18">
      <c r="A119" s="176"/>
      <c r="B119" s="307"/>
      <c r="C119" s="192" t="s">
        <v>13</v>
      </c>
      <c r="D119" s="231">
        <v>2.5920000539359482</v>
      </c>
      <c r="E119" s="232">
        <v>10.887</v>
      </c>
      <c r="F119" s="193">
        <f t="shared" si="27"/>
        <v>13.479000053935948</v>
      </c>
      <c r="G119" s="78"/>
      <c r="H119" s="78"/>
      <c r="I119" s="179"/>
      <c r="J119" s="193">
        <f t="shared" si="29"/>
        <v>0</v>
      </c>
      <c r="K119" s="78">
        <v>359.86700000000002</v>
      </c>
      <c r="L119" s="54"/>
      <c r="M119" s="54"/>
      <c r="N119" s="54"/>
      <c r="O119" s="54"/>
      <c r="P119" s="54"/>
      <c r="Q119" s="180">
        <f t="shared" si="31"/>
        <v>373.346000053936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228">
        <v>1.4004000000000001</v>
      </c>
      <c r="E120" s="228">
        <v>0.56399999999999995</v>
      </c>
      <c r="F120" s="191">
        <f t="shared" si="27"/>
        <v>1.9643999999999999</v>
      </c>
      <c r="G120" s="77"/>
      <c r="H120" s="77">
        <v>0.21870000000000001</v>
      </c>
      <c r="I120" s="174"/>
      <c r="J120" s="191">
        <f t="shared" si="29"/>
        <v>0.21870000000000001</v>
      </c>
      <c r="K120" s="77">
        <v>6.5289999999999999</v>
      </c>
      <c r="L120" s="33"/>
      <c r="M120" s="33"/>
      <c r="N120" s="33"/>
      <c r="O120" s="33"/>
      <c r="P120" s="33"/>
      <c r="Q120" s="175">
        <f t="shared" si="31"/>
        <v>8.7120999999999995</v>
      </c>
      <c r="R120" s="27"/>
    </row>
    <row r="121" spans="1:18">
      <c r="A121" s="176"/>
      <c r="B121" s="307"/>
      <c r="C121" s="192" t="s">
        <v>13</v>
      </c>
      <c r="D121" s="231">
        <v>517.86001077595301</v>
      </c>
      <c r="E121" s="232">
        <v>243.648</v>
      </c>
      <c r="F121" s="193">
        <f t="shared" si="27"/>
        <v>761.50801077595304</v>
      </c>
      <c r="G121" s="78"/>
      <c r="H121" s="78">
        <v>108.691</v>
      </c>
      <c r="I121" s="179"/>
      <c r="J121" s="193">
        <f t="shared" si="29"/>
        <v>108.691</v>
      </c>
      <c r="K121" s="78">
        <v>957.16200000000003</v>
      </c>
      <c r="L121" s="54"/>
      <c r="M121" s="54"/>
      <c r="N121" s="54"/>
      <c r="O121" s="54"/>
      <c r="P121" s="54"/>
      <c r="Q121" s="180">
        <f t="shared" si="31"/>
        <v>1827.3610107759532</v>
      </c>
      <c r="R121" s="27"/>
    </row>
    <row r="122" spans="1:18">
      <c r="A122" s="176"/>
      <c r="B122" s="306" t="s">
        <v>84</v>
      </c>
      <c r="C122" s="32" t="s">
        <v>11</v>
      </c>
      <c r="D122" s="228">
        <v>5.0677000000000003</v>
      </c>
      <c r="E122" s="228">
        <v>0.51100000000000001</v>
      </c>
      <c r="F122" s="191">
        <f t="shared" si="27"/>
        <v>5.5787000000000004</v>
      </c>
      <c r="G122" s="77">
        <v>2.6385000000000001</v>
      </c>
      <c r="H122" s="77">
        <v>6.8933999999999997</v>
      </c>
      <c r="I122" s="174"/>
      <c r="J122" s="191">
        <f t="shared" si="29"/>
        <v>6.8933999999999997</v>
      </c>
      <c r="K122" s="77"/>
      <c r="L122" s="33">
        <v>3.2694999999999999</v>
      </c>
      <c r="M122" s="33">
        <v>0.05</v>
      </c>
      <c r="N122" s="33"/>
      <c r="O122" s="33"/>
      <c r="P122" s="33">
        <v>3.6600000000000001E-2</v>
      </c>
      <c r="Q122" s="175">
        <f t="shared" si="31"/>
        <v>18.466699999999999</v>
      </c>
      <c r="R122" s="27"/>
    </row>
    <row r="123" spans="1:18">
      <c r="A123" s="176"/>
      <c r="B123" s="307"/>
      <c r="C123" s="192" t="s">
        <v>13</v>
      </c>
      <c r="D123" s="231">
        <v>3607.0002750567037</v>
      </c>
      <c r="E123" s="232">
        <v>439.72199999999998</v>
      </c>
      <c r="F123" s="193">
        <f t="shared" si="27"/>
        <v>4046.7222750567034</v>
      </c>
      <c r="G123" s="78">
        <v>3317.7339999999999</v>
      </c>
      <c r="H123" s="78">
        <v>5386.5829999999996</v>
      </c>
      <c r="I123" s="179"/>
      <c r="J123" s="193">
        <f t="shared" si="29"/>
        <v>5386.5829999999996</v>
      </c>
      <c r="K123" s="78"/>
      <c r="L123" s="54">
        <v>2004.491</v>
      </c>
      <c r="M123" s="54">
        <f>16.69*1.08</f>
        <v>18.025200000000002</v>
      </c>
      <c r="N123" s="54"/>
      <c r="O123" s="54"/>
      <c r="P123" s="54">
        <f>9.15*1.08</f>
        <v>9.8820000000000014</v>
      </c>
      <c r="Q123" s="180">
        <f t="shared" si="31"/>
        <v>14783.437475056704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228">
        <v>2.5687000000000002</v>
      </c>
      <c r="E124" s="228">
        <v>1.0592999999999999</v>
      </c>
      <c r="F124" s="191">
        <f t="shared" si="27"/>
        <v>3.6280000000000001</v>
      </c>
      <c r="G124" s="77">
        <v>0.62670000000000003</v>
      </c>
      <c r="H124" s="77">
        <v>2.7768999999999999</v>
      </c>
      <c r="I124" s="174"/>
      <c r="J124" s="191">
        <f t="shared" si="29"/>
        <v>2.7768999999999999</v>
      </c>
      <c r="K124" s="77"/>
      <c r="L124" s="33">
        <v>0.73370000000000002</v>
      </c>
      <c r="M124" s="33"/>
      <c r="N124" s="33"/>
      <c r="O124" s="33"/>
      <c r="P124" s="33">
        <v>2.4386000000000001</v>
      </c>
      <c r="Q124" s="175">
        <f t="shared" si="31"/>
        <v>10.203899999999999</v>
      </c>
      <c r="R124" s="27"/>
    </row>
    <row r="125" spans="1:18">
      <c r="A125" s="27"/>
      <c r="B125" s="307"/>
      <c r="C125" s="192" t="s">
        <v>13</v>
      </c>
      <c r="D125" s="231">
        <v>2691.3276560028185</v>
      </c>
      <c r="E125" s="232">
        <v>423.06799999999998</v>
      </c>
      <c r="F125" s="193">
        <f t="shared" si="27"/>
        <v>3114.3956560028182</v>
      </c>
      <c r="G125" s="78">
        <v>221.197</v>
      </c>
      <c r="H125" s="78">
        <v>6851.9189999999999</v>
      </c>
      <c r="I125" s="179"/>
      <c r="J125" s="193">
        <f t="shared" si="29"/>
        <v>6851.9189999999999</v>
      </c>
      <c r="K125" s="78"/>
      <c r="L125" s="54">
        <v>414.69400000000002</v>
      </c>
      <c r="M125" s="54"/>
      <c r="N125" s="54"/>
      <c r="O125" s="54"/>
      <c r="P125" s="54">
        <f>17190.168*1.08</f>
        <v>18565.381440000001</v>
      </c>
      <c r="Q125" s="180">
        <f t="shared" si="31"/>
        <v>29167.587096002819</v>
      </c>
      <c r="R125" s="27"/>
    </row>
    <row r="126" spans="1:18">
      <c r="A126" s="27"/>
      <c r="B126" s="46" t="s">
        <v>15</v>
      </c>
      <c r="C126" s="32" t="s">
        <v>11</v>
      </c>
      <c r="D126" s="242">
        <v>4.8513999999999999</v>
      </c>
      <c r="E126" s="228">
        <v>0.1918</v>
      </c>
      <c r="F126" s="191">
        <f t="shared" si="27"/>
        <v>5.0431999999999997</v>
      </c>
      <c r="G126" s="77">
        <v>19.103000000000002</v>
      </c>
      <c r="H126" s="77">
        <v>20.192599999999999</v>
      </c>
      <c r="I126" s="174"/>
      <c r="J126" s="191">
        <f t="shared" si="29"/>
        <v>20.192599999999999</v>
      </c>
      <c r="K126" s="77"/>
      <c r="L126" s="33">
        <v>27.355499999999999</v>
      </c>
      <c r="M126" s="33"/>
      <c r="N126" s="33"/>
      <c r="O126" s="33"/>
      <c r="P126" s="33">
        <v>2.6993999999999998</v>
      </c>
      <c r="Q126" s="175">
        <f t="shared" si="31"/>
        <v>74.393699999999995</v>
      </c>
      <c r="R126" s="27"/>
    </row>
    <row r="127" spans="1:18">
      <c r="A127" s="27"/>
      <c r="B127" s="177" t="s">
        <v>86</v>
      </c>
      <c r="C127" s="192" t="s">
        <v>13</v>
      </c>
      <c r="D127" s="91">
        <v>1793.4048373182825</v>
      </c>
      <c r="E127" s="232">
        <v>194.04300000000001</v>
      </c>
      <c r="F127" s="193">
        <f t="shared" si="27"/>
        <v>1987.4478373182824</v>
      </c>
      <c r="G127" s="78">
        <v>4882.25</v>
      </c>
      <c r="H127" s="78">
        <v>8275.94</v>
      </c>
      <c r="I127" s="179"/>
      <c r="J127" s="193">
        <f t="shared" si="29"/>
        <v>8275.94</v>
      </c>
      <c r="K127" s="78"/>
      <c r="L127" s="54">
        <v>3266.6729999999998</v>
      </c>
      <c r="M127" s="54"/>
      <c r="N127" s="54"/>
      <c r="O127" s="54"/>
      <c r="P127" s="54">
        <f>4049.1*1.08</f>
        <v>4373.0280000000002</v>
      </c>
      <c r="Q127" s="180">
        <f t="shared" si="31"/>
        <v>22785.338837318282</v>
      </c>
      <c r="R127" s="27"/>
    </row>
    <row r="128" spans="1:18">
      <c r="A128" s="27"/>
      <c r="B128" s="308" t="s">
        <v>19</v>
      </c>
      <c r="C128" s="32" t="s">
        <v>11</v>
      </c>
      <c r="D128" s="50">
        <f t="shared" ref="D128:D129" si="40">D106+D108+D110+D112+D114+D116+D118+D120+D122+D124+D126</f>
        <v>17.502800000000001</v>
      </c>
      <c r="E128" s="55">
        <f t="shared" ref="E128:E129" si="41">+E106+E108+E110+E112+E114+E116+E118+E120+E122+E124+E126</f>
        <v>4.9225000000000003</v>
      </c>
      <c r="F128" s="191">
        <f t="shared" si="27"/>
        <v>22.4253</v>
      </c>
      <c r="G128" s="49">
        <f t="shared" ref="G128:H129" si="42">+G106+G108+G110+G112+G114+G116+G118+G120+G122+G124+G126</f>
        <v>37.211200000000005</v>
      </c>
      <c r="H128" s="49">
        <f t="shared" si="42"/>
        <v>188.03360000000001</v>
      </c>
      <c r="I128" s="50"/>
      <c r="J128" s="191">
        <f t="shared" si="29"/>
        <v>188.03360000000001</v>
      </c>
      <c r="K128" s="49">
        <f t="shared" ref="K128:M129" si="43">+K106+K108+K110+K112+K114+K116+K118+K120+K122+K124+K126</f>
        <v>67.861800000000002</v>
      </c>
      <c r="L128" s="33">
        <f t="shared" si="43"/>
        <v>65.798100000000005</v>
      </c>
      <c r="M128" s="33">
        <f>+M106+M108+M110+M112+M114+M116+M118+M120+M122+M124+M126</f>
        <v>0.42899999999999999</v>
      </c>
      <c r="N128" s="33">
        <f t="shared" ref="N128:P129" si="44">+N106+N108+N110+N112+N114+N116+N118+N120+N122+N124+N126</f>
        <v>1.3771</v>
      </c>
      <c r="O128" s="33">
        <f t="shared" si="44"/>
        <v>2.4586999999999999</v>
      </c>
      <c r="P128" s="33">
        <f t="shared" si="44"/>
        <v>13.075700000000001</v>
      </c>
      <c r="Q128" s="175">
        <f t="shared" si="31"/>
        <v>398.6705</v>
      </c>
      <c r="R128" s="27"/>
    </row>
    <row r="129" spans="1:18">
      <c r="A129" s="183"/>
      <c r="B129" s="309"/>
      <c r="C129" s="192" t="s">
        <v>13</v>
      </c>
      <c r="D129" s="63">
        <f t="shared" si="40"/>
        <v>10450.667737463991</v>
      </c>
      <c r="E129" s="68">
        <f t="shared" si="41"/>
        <v>2789.0030000000002</v>
      </c>
      <c r="F129" s="193">
        <f t="shared" si="27"/>
        <v>13239.670737463992</v>
      </c>
      <c r="G129" s="68">
        <f t="shared" si="42"/>
        <v>17070.138999999999</v>
      </c>
      <c r="H129" s="68">
        <f t="shared" si="42"/>
        <v>70818.755999999994</v>
      </c>
      <c r="I129" s="63"/>
      <c r="J129" s="193">
        <f t="shared" si="29"/>
        <v>70818.755999999994</v>
      </c>
      <c r="K129" s="68">
        <f t="shared" si="43"/>
        <v>11041.559000000001</v>
      </c>
      <c r="L129" s="54">
        <f t="shared" si="43"/>
        <v>25328.464</v>
      </c>
      <c r="M129" s="54">
        <f t="shared" si="43"/>
        <v>165.56400000000005</v>
      </c>
      <c r="N129" s="54">
        <f t="shared" si="44"/>
        <v>607.40899999999999</v>
      </c>
      <c r="O129" s="54">
        <f t="shared" si="44"/>
        <v>1883.1279999999999</v>
      </c>
      <c r="P129" s="54">
        <f t="shared" si="44"/>
        <v>27032.484239999998</v>
      </c>
      <c r="Q129" s="180">
        <f t="shared" si="31"/>
        <v>167187.173977464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229"/>
      <c r="E130" s="224"/>
      <c r="F130" s="191">
        <f t="shared" si="27"/>
        <v>0</v>
      </c>
      <c r="G130" s="77">
        <v>0</v>
      </c>
      <c r="H130" s="77"/>
      <c r="I130" s="174"/>
      <c r="J130" s="191">
        <f t="shared" si="29"/>
        <v>0</v>
      </c>
      <c r="K130" s="77"/>
      <c r="L130" s="33"/>
      <c r="M130" s="33"/>
      <c r="N130" s="33"/>
      <c r="O130" s="33"/>
      <c r="P130" s="33"/>
      <c r="Q130" s="175">
        <f t="shared" si="31"/>
        <v>0</v>
      </c>
      <c r="R130" s="27"/>
    </row>
    <row r="131" spans="1:18">
      <c r="A131" s="172" t="s">
        <v>0</v>
      </c>
      <c r="B131" s="307"/>
      <c r="C131" s="192" t="s">
        <v>13</v>
      </c>
      <c r="D131" s="230"/>
      <c r="E131" s="225"/>
      <c r="F131" s="193">
        <f t="shared" si="27"/>
        <v>0</v>
      </c>
      <c r="G131" s="78">
        <v>5.319</v>
      </c>
      <c r="H131" s="78"/>
      <c r="I131" s="179"/>
      <c r="J131" s="193">
        <f t="shared" si="29"/>
        <v>0</v>
      </c>
      <c r="K131" s="78"/>
      <c r="L131" s="54"/>
      <c r="M131" s="54"/>
      <c r="N131" s="54"/>
      <c r="O131" s="54"/>
      <c r="P131" s="54"/>
      <c r="Q131" s="180">
        <f t="shared" si="31"/>
        <v>5.319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229"/>
      <c r="E132" s="224"/>
      <c r="F132" s="191">
        <f t="shared" si="27"/>
        <v>0</v>
      </c>
      <c r="G132" s="77">
        <v>1.099</v>
      </c>
      <c r="H132" s="77"/>
      <c r="I132" s="174"/>
      <c r="J132" s="191">
        <f t="shared" si="29"/>
        <v>0</v>
      </c>
      <c r="K132" s="77"/>
      <c r="L132" s="33"/>
      <c r="M132" s="33"/>
      <c r="N132" s="33"/>
      <c r="O132" s="33"/>
      <c r="P132" s="33"/>
      <c r="Q132" s="175">
        <f t="shared" si="31"/>
        <v>1.099</v>
      </c>
      <c r="R132" s="27"/>
    </row>
    <row r="133" spans="1:18">
      <c r="A133" s="176"/>
      <c r="B133" s="307"/>
      <c r="C133" s="192" t="s">
        <v>13</v>
      </c>
      <c r="D133" s="246"/>
      <c r="E133" s="225"/>
      <c r="F133" s="193">
        <f t="shared" si="27"/>
        <v>0</v>
      </c>
      <c r="G133" s="78">
        <v>38.340000000000003</v>
      </c>
      <c r="H133" s="78"/>
      <c r="I133" s="179"/>
      <c r="J133" s="193">
        <f t="shared" si="29"/>
        <v>0</v>
      </c>
      <c r="K133" s="78"/>
      <c r="L133" s="54"/>
      <c r="M133" s="54"/>
      <c r="N133" s="54"/>
      <c r="O133" s="54"/>
      <c r="P133" s="54"/>
      <c r="Q133" s="197">
        <f t="shared" si="31"/>
        <v>38.340000000000003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247"/>
      <c r="E134" s="226"/>
      <c r="F134" s="199">
        <f t="shared" ref="F134:F142" si="45">SUM(D134:E134)</f>
        <v>0</v>
      </c>
      <c r="G134" s="139">
        <v>7.4999999999999997E-3</v>
      </c>
      <c r="H134" s="139">
        <v>9.9500000000000005E-2</v>
      </c>
      <c r="I134" s="200"/>
      <c r="J134" s="199">
        <f t="shared" ref="J134:J142" si="46">SUM(H134:I134)</f>
        <v>9.9500000000000005E-2</v>
      </c>
      <c r="K134" s="139"/>
      <c r="L134" s="93"/>
      <c r="M134" s="93"/>
      <c r="N134" s="93"/>
      <c r="O134" s="93"/>
      <c r="P134" s="93"/>
      <c r="Q134" s="175">
        <f t="shared" si="31"/>
        <v>0.10700000000000001</v>
      </c>
      <c r="R134" s="27"/>
    </row>
    <row r="135" spans="1:18">
      <c r="A135" s="176"/>
      <c r="B135" s="46" t="s">
        <v>91</v>
      </c>
      <c r="C135" s="32" t="s">
        <v>92</v>
      </c>
      <c r="D135" s="73"/>
      <c r="E135" s="224"/>
      <c r="F135" s="201">
        <f t="shared" si="45"/>
        <v>0</v>
      </c>
      <c r="G135" s="77"/>
      <c r="H135" s="77"/>
      <c r="I135" s="174"/>
      <c r="J135" s="201">
        <f t="shared" si="46"/>
        <v>0</v>
      </c>
      <c r="K135" s="77"/>
      <c r="L135" s="33"/>
      <c r="M135" s="49"/>
      <c r="N135" s="161"/>
      <c r="O135" s="33"/>
      <c r="P135" s="161"/>
      <c r="Q135" s="175">
        <f t="shared" si="31"/>
        <v>0</v>
      </c>
      <c r="R135" s="27"/>
    </row>
    <row r="136" spans="1:18">
      <c r="A136" s="176" t="s">
        <v>18</v>
      </c>
      <c r="B136" s="54"/>
      <c r="C136" s="192" t="s">
        <v>13</v>
      </c>
      <c r="D136" s="91"/>
      <c r="E136" s="232"/>
      <c r="F136" s="202">
        <f t="shared" si="45"/>
        <v>0</v>
      </c>
      <c r="G136" s="78">
        <v>3.8879999999999999</v>
      </c>
      <c r="H136" s="103">
        <v>94.251000000000005</v>
      </c>
      <c r="I136" s="179"/>
      <c r="J136" s="202">
        <f t="shared" si="46"/>
        <v>94.251000000000005</v>
      </c>
      <c r="K136" s="103"/>
      <c r="L136" s="54"/>
      <c r="M136" s="92"/>
      <c r="N136" s="54"/>
      <c r="O136" s="54"/>
      <c r="P136" s="54"/>
      <c r="Q136" s="197">
        <f t="shared" si="31"/>
        <v>98.13900000000001</v>
      </c>
      <c r="R136" s="27"/>
    </row>
    <row r="137" spans="1:18">
      <c r="A137" s="27"/>
      <c r="B137" s="212" t="s">
        <v>0</v>
      </c>
      <c r="C137" s="29" t="s">
        <v>11</v>
      </c>
      <c r="D137" s="55"/>
      <c r="E137" s="55"/>
      <c r="F137" s="199">
        <f t="shared" si="45"/>
        <v>0</v>
      </c>
      <c r="G137" s="49">
        <f t="shared" ref="G137" si="47">G130+G132+G134</f>
        <v>1.1065</v>
      </c>
      <c r="H137" s="49">
        <f t="shared" ref="H137" si="48">+H130+H132+H134</f>
        <v>9.9500000000000005E-2</v>
      </c>
      <c r="I137" s="47"/>
      <c r="J137" s="199">
        <f t="shared" si="46"/>
        <v>9.9500000000000005E-2</v>
      </c>
      <c r="K137" s="49"/>
      <c r="L137" s="33"/>
      <c r="M137" s="97"/>
      <c r="N137" s="160"/>
      <c r="O137" s="93"/>
      <c r="P137" s="93"/>
      <c r="Q137" s="175">
        <f t="shared" si="31"/>
        <v>1.206</v>
      </c>
      <c r="R137" s="27"/>
    </row>
    <row r="138" spans="1:18">
      <c r="A138" s="27"/>
      <c r="B138" s="213" t="s">
        <v>19</v>
      </c>
      <c r="C138" s="32" t="s">
        <v>92</v>
      </c>
      <c r="D138" s="49"/>
      <c r="E138" s="49"/>
      <c r="F138" s="201">
        <f t="shared" si="45"/>
        <v>0</v>
      </c>
      <c r="G138" s="98"/>
      <c r="H138" s="49"/>
      <c r="I138" s="50"/>
      <c r="J138" s="201">
        <f t="shared" si="46"/>
        <v>0</v>
      </c>
      <c r="K138" s="49"/>
      <c r="L138" s="33"/>
      <c r="M138" s="69"/>
      <c r="N138" s="69"/>
      <c r="O138" s="33"/>
      <c r="P138" s="33"/>
      <c r="Q138" s="175">
        <f t="shared" si="31"/>
        <v>0</v>
      </c>
      <c r="R138" s="27"/>
    </row>
    <row r="139" spans="1:18">
      <c r="A139" s="183"/>
      <c r="B139" s="54"/>
      <c r="C139" s="192" t="s">
        <v>13</v>
      </c>
      <c r="D139" s="68"/>
      <c r="E139" s="68"/>
      <c r="F139" s="202">
        <f t="shared" si="45"/>
        <v>0</v>
      </c>
      <c r="G139" s="68">
        <f t="shared" ref="G139" si="49">G131+G133+G136</f>
        <v>47.547000000000004</v>
      </c>
      <c r="H139" s="68">
        <f t="shared" ref="H139" si="50">+H131+H133+H136</f>
        <v>94.251000000000005</v>
      </c>
      <c r="I139" s="63"/>
      <c r="J139" s="202">
        <f t="shared" si="46"/>
        <v>94.251000000000005</v>
      </c>
      <c r="K139" s="68"/>
      <c r="L139" s="54"/>
      <c r="M139" s="70"/>
      <c r="N139" s="70"/>
      <c r="O139" s="54"/>
      <c r="P139" s="54"/>
      <c r="Q139" s="197">
        <f t="shared" si="31"/>
        <v>141.798</v>
      </c>
      <c r="R139" s="27"/>
    </row>
    <row r="140" spans="1:18">
      <c r="A140" s="27"/>
      <c r="B140" s="28" t="s">
        <v>0</v>
      </c>
      <c r="C140" s="29" t="s">
        <v>11</v>
      </c>
      <c r="D140" s="116">
        <f>D137+D128+D104</f>
        <v>340.72649999999993</v>
      </c>
      <c r="E140" s="127">
        <f t="shared" ref="E140" si="51">E137+E128+E104</f>
        <v>1657.6964999999998</v>
      </c>
      <c r="F140" s="199">
        <f t="shared" si="45"/>
        <v>1998.4229999999998</v>
      </c>
      <c r="G140" s="147">
        <f t="shared" ref="G140:H140" si="52">G137+G128+G104</f>
        <v>5967.7364000000016</v>
      </c>
      <c r="H140" s="152">
        <f t="shared" si="52"/>
        <v>11405.6237</v>
      </c>
      <c r="I140" s="57"/>
      <c r="J140" s="199">
        <f t="shared" si="46"/>
        <v>11405.6237</v>
      </c>
      <c r="K140" s="155">
        <f t="shared" ref="K140:P140" si="53">K137+K128+K104</f>
        <v>2909.3126000000007</v>
      </c>
      <c r="L140" s="93">
        <f t="shared" si="53"/>
        <v>376.36545000000001</v>
      </c>
      <c r="M140" s="97">
        <f t="shared" si="53"/>
        <v>2.4320999999999997</v>
      </c>
      <c r="N140" s="97">
        <f t="shared" si="53"/>
        <v>167.04280000000003</v>
      </c>
      <c r="O140" s="93">
        <f t="shared" si="53"/>
        <v>40.050000000000004</v>
      </c>
      <c r="P140" s="93">
        <f t="shared" si="53"/>
        <v>81.992949999999993</v>
      </c>
      <c r="Q140" s="175">
        <f t="shared" si="31"/>
        <v>22948.979000000003</v>
      </c>
      <c r="R140" s="27"/>
    </row>
    <row r="141" spans="1:18">
      <c r="A141" s="27"/>
      <c r="B141" s="31" t="s">
        <v>93</v>
      </c>
      <c r="C141" s="32" t="s">
        <v>92</v>
      </c>
      <c r="D141" s="117"/>
      <c r="E141" s="110"/>
      <c r="F141" s="201">
        <f t="shared" si="45"/>
        <v>0</v>
      </c>
      <c r="G141" s="148"/>
      <c r="H141" s="144"/>
      <c r="I141" s="206"/>
      <c r="J141" s="201">
        <f t="shared" si="46"/>
        <v>0</v>
      </c>
      <c r="K141" s="148"/>
      <c r="L141" s="33"/>
      <c r="M141" s="69"/>
      <c r="N141" s="69"/>
      <c r="O141" s="33"/>
      <c r="P141" s="33"/>
      <c r="Q141" s="175">
        <f t="shared" ref="Q141:Q142" si="54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>D139+D129+D105</f>
        <v>194150.29400000002</v>
      </c>
      <c r="E142" s="118">
        <f t="shared" ref="E142" si="55">E139+E129+E105</f>
        <v>722431.86100000003</v>
      </c>
      <c r="F142" s="207">
        <f t="shared" si="45"/>
        <v>916582.15500000003</v>
      </c>
      <c r="G142" s="136">
        <f t="shared" ref="G142:H142" si="56">G139+G129+G105</f>
        <v>1414485.8739999998</v>
      </c>
      <c r="H142" s="153">
        <f t="shared" si="56"/>
        <v>2060463.993</v>
      </c>
      <c r="I142" s="58"/>
      <c r="J142" s="207">
        <f t="shared" si="46"/>
        <v>2060463.993</v>
      </c>
      <c r="K142" s="136">
        <f t="shared" ref="K142:P142" si="57">K139+K129+K105</f>
        <v>1075625.584</v>
      </c>
      <c r="L142" s="37">
        <f t="shared" si="57"/>
        <v>206840.86799999999</v>
      </c>
      <c r="M142" s="71">
        <f t="shared" si="57"/>
        <v>937.23048000000006</v>
      </c>
      <c r="N142" s="71">
        <f t="shared" si="57"/>
        <v>54165.877</v>
      </c>
      <c r="O142" s="37">
        <f t="shared" si="57"/>
        <v>17568.115000000002</v>
      </c>
      <c r="P142" s="37">
        <f t="shared" si="57"/>
        <v>54282.480479999998</v>
      </c>
      <c r="Q142" s="187">
        <f t="shared" si="54"/>
        <v>5800952.1769600008</v>
      </c>
      <c r="R142" s="27"/>
    </row>
    <row r="143" spans="1:18">
      <c r="Q143" s="208" t="s">
        <v>94</v>
      </c>
    </row>
    <row r="144" spans="1:18">
      <c r="P144" s="47"/>
    </row>
    <row r="145" spans="7:14">
      <c r="G145" s="47"/>
      <c r="N145" s="47"/>
    </row>
    <row r="146" spans="7:14">
      <c r="G146" s="47"/>
      <c r="M146" s="47"/>
      <c r="N146" s="47"/>
    </row>
    <row r="147" spans="7:14">
      <c r="G147" s="47"/>
      <c r="M147" s="47"/>
    </row>
    <row r="148" spans="7:14">
      <c r="G148" s="47"/>
      <c r="M148" s="47"/>
    </row>
    <row r="149" spans="7:14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108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>
        <v>0.03</v>
      </c>
      <c r="E5" s="52"/>
      <c r="F5" s="173">
        <f>SUM(D5:E5)</f>
        <v>0.03</v>
      </c>
      <c r="G5" s="77">
        <v>22.757000000000001</v>
      </c>
      <c r="H5" s="77">
        <v>308.9984</v>
      </c>
      <c r="I5" s="174"/>
      <c r="J5" s="173">
        <f>SUM(H5:I5)</f>
        <v>308.9984</v>
      </c>
      <c r="K5" s="77">
        <v>2.645</v>
      </c>
      <c r="L5" s="33"/>
      <c r="M5" s="33"/>
      <c r="N5" s="33"/>
      <c r="O5" s="33"/>
      <c r="P5" s="33"/>
      <c r="Q5" s="175">
        <f>SUM(F5:G5,J5:P5)</f>
        <v>334.43039999999996</v>
      </c>
      <c r="R5" s="47"/>
    </row>
    <row r="6" spans="1:18">
      <c r="A6" s="176" t="s">
        <v>12</v>
      </c>
      <c r="B6" s="307"/>
      <c r="C6" s="177" t="s">
        <v>13</v>
      </c>
      <c r="D6" s="209">
        <v>21.059999902275003</v>
      </c>
      <c r="E6" s="53"/>
      <c r="F6" s="178">
        <f>SUM(D6:E6)</f>
        <v>21.059999902275003</v>
      </c>
      <c r="G6" s="78">
        <v>9237.9689999999991</v>
      </c>
      <c r="H6" s="78">
        <v>72185.648000000001</v>
      </c>
      <c r="I6" s="179"/>
      <c r="J6" s="178">
        <f>SUM(H6:I6)</f>
        <v>72185.648000000001</v>
      </c>
      <c r="K6" s="78">
        <v>497.13900000000001</v>
      </c>
      <c r="L6" s="54"/>
      <c r="M6" s="54"/>
      <c r="N6" s="54"/>
      <c r="O6" s="54"/>
      <c r="P6" s="54"/>
      <c r="Q6" s="180">
        <f>SUM(F6:G6,J6:P6)</f>
        <v>81941.815999902276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0.16</v>
      </c>
      <c r="F7" s="181">
        <f t="shared" ref="F7:F68" si="0">SUM(D7:E7)</f>
        <v>0.16</v>
      </c>
      <c r="G7" s="77">
        <v>0.16500000000000001</v>
      </c>
      <c r="H7" s="77">
        <v>511.64600000000002</v>
      </c>
      <c r="I7" s="174"/>
      <c r="J7" s="181">
        <f t="shared" ref="J7:J68" si="1">SUM(H7:I7)</f>
        <v>511.64600000000002</v>
      </c>
      <c r="K7" s="77">
        <v>18.352</v>
      </c>
      <c r="L7" s="33"/>
      <c r="M7" s="33"/>
      <c r="N7" s="33"/>
      <c r="O7" s="33"/>
      <c r="P7" s="33"/>
      <c r="Q7" s="175">
        <f t="shared" ref="Q7:Q68" si="2">SUM(F7:G7,J7:P7)</f>
        <v>530.32299999999998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72.900000000000006</v>
      </c>
      <c r="F8" s="178">
        <f t="shared" si="0"/>
        <v>72.900000000000006</v>
      </c>
      <c r="G8" s="78">
        <v>1.2190000000000001</v>
      </c>
      <c r="H8" s="78">
        <v>22180.102999999999</v>
      </c>
      <c r="I8" s="179"/>
      <c r="J8" s="178">
        <f t="shared" si="1"/>
        <v>22180.102999999999</v>
      </c>
      <c r="K8" s="103">
        <v>728.67399999999998</v>
      </c>
      <c r="L8" s="54"/>
      <c r="M8" s="54"/>
      <c r="N8" s="54"/>
      <c r="O8" s="54"/>
      <c r="P8" s="54"/>
      <c r="Q8" s="180">
        <f t="shared" si="2"/>
        <v>22982.895999999997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>
        <f>D5+D7</f>
        <v>0.03</v>
      </c>
      <c r="E9" s="33">
        <f t="shared" ref="E9:E10" si="3">+E5+E7</f>
        <v>0.16</v>
      </c>
      <c r="F9" s="181">
        <f>SUM(D9:E9)</f>
        <v>0.19</v>
      </c>
      <c r="G9" s="49">
        <f t="shared" ref="G9:H10" si="4">+G5+G7</f>
        <v>22.922000000000001</v>
      </c>
      <c r="H9" s="49">
        <f t="shared" si="4"/>
        <v>820.64440000000002</v>
      </c>
      <c r="I9" s="50"/>
      <c r="J9" s="181">
        <f>SUM(H9:I9)</f>
        <v>820.64440000000002</v>
      </c>
      <c r="K9" s="49">
        <f t="shared" ref="K9:K10" si="5">+K5+K7</f>
        <v>20.997</v>
      </c>
      <c r="L9" s="33"/>
      <c r="M9" s="33"/>
      <c r="N9" s="33"/>
      <c r="O9" s="33"/>
      <c r="P9" s="33"/>
      <c r="Q9" s="175">
        <f t="shared" si="2"/>
        <v>864.75339999999994</v>
      </c>
      <c r="R9" s="47"/>
    </row>
    <row r="10" spans="1:18">
      <c r="A10" s="183"/>
      <c r="B10" s="309"/>
      <c r="C10" s="177" t="s">
        <v>13</v>
      </c>
      <c r="D10" s="54">
        <f>D6+D8</f>
        <v>21.059999902275003</v>
      </c>
      <c r="E10" s="54">
        <f t="shared" si="3"/>
        <v>72.900000000000006</v>
      </c>
      <c r="F10" s="178">
        <f t="shared" si="0"/>
        <v>93.959999902275001</v>
      </c>
      <c r="G10" s="68">
        <f t="shared" si="4"/>
        <v>9239.1879999999983</v>
      </c>
      <c r="H10" s="68">
        <f t="shared" si="4"/>
        <v>94365.751000000004</v>
      </c>
      <c r="I10" s="63"/>
      <c r="J10" s="178">
        <f t="shared" si="1"/>
        <v>94365.751000000004</v>
      </c>
      <c r="K10" s="68">
        <f t="shared" si="5"/>
        <v>1225.8130000000001</v>
      </c>
      <c r="L10" s="54"/>
      <c r="M10" s="54"/>
      <c r="N10" s="54"/>
      <c r="O10" s="54"/>
      <c r="P10" s="54"/>
      <c r="Q10" s="180">
        <f t="shared" si="2"/>
        <v>104924.71199990227</v>
      </c>
      <c r="R10" s="47"/>
    </row>
    <row r="11" spans="1:18">
      <c r="A11" s="310" t="s">
        <v>20</v>
      </c>
      <c r="B11" s="311"/>
      <c r="C11" s="48" t="s">
        <v>11</v>
      </c>
      <c r="D11" s="52">
        <v>101.62009999999999</v>
      </c>
      <c r="E11" s="52">
        <v>7.7553999999999998</v>
      </c>
      <c r="F11" s="181">
        <f t="shared" si="0"/>
        <v>109.37549999999999</v>
      </c>
      <c r="G11" s="77">
        <v>7257.3960999999999</v>
      </c>
      <c r="H11" s="77">
        <v>4332.5910000000003</v>
      </c>
      <c r="I11" s="174"/>
      <c r="J11" s="181">
        <f t="shared" si="1"/>
        <v>4332.5910000000003</v>
      </c>
      <c r="K11" s="77">
        <v>688.44899999999996</v>
      </c>
      <c r="L11" s="33">
        <v>0.32879999999999998</v>
      </c>
      <c r="M11" s="33"/>
      <c r="N11" s="33"/>
      <c r="O11" s="33"/>
      <c r="P11" s="33"/>
      <c r="Q11" s="175">
        <f t="shared" si="2"/>
        <v>12388.1404</v>
      </c>
      <c r="R11" s="47"/>
    </row>
    <row r="12" spans="1:18">
      <c r="A12" s="312"/>
      <c r="B12" s="313"/>
      <c r="C12" s="177" t="s">
        <v>13</v>
      </c>
      <c r="D12" s="209">
        <v>28781.28706644581</v>
      </c>
      <c r="E12" s="53">
        <v>1235.1099999999999</v>
      </c>
      <c r="F12" s="178">
        <f t="shared" si="0"/>
        <v>30016.39706644581</v>
      </c>
      <c r="G12" s="78">
        <v>2124208.9029999999</v>
      </c>
      <c r="H12" s="78">
        <v>722757.80599999998</v>
      </c>
      <c r="I12" s="179"/>
      <c r="J12" s="178">
        <f t="shared" si="1"/>
        <v>722757.80599999998</v>
      </c>
      <c r="K12" s="78">
        <v>110452.05100000001</v>
      </c>
      <c r="L12" s="54">
        <v>250.404</v>
      </c>
      <c r="M12" s="54"/>
      <c r="N12" s="54"/>
      <c r="O12" s="54"/>
      <c r="P12" s="54"/>
      <c r="Q12" s="180">
        <f t="shared" si="2"/>
        <v>2987685.5610664459</v>
      </c>
      <c r="R12" s="47"/>
    </row>
    <row r="13" spans="1:18">
      <c r="A13" s="27"/>
      <c r="B13" s="306" t="s">
        <v>21</v>
      </c>
      <c r="C13" s="48" t="s">
        <v>11</v>
      </c>
      <c r="D13" s="52">
        <v>5.6083999999999996</v>
      </c>
      <c r="E13" s="52">
        <v>5.4523999999999999</v>
      </c>
      <c r="F13" s="181">
        <f t="shared" si="0"/>
        <v>11.0608</v>
      </c>
      <c r="G13" s="77">
        <v>2.4822000000000002</v>
      </c>
      <c r="H13" s="77">
        <v>0.49199999999999999</v>
      </c>
      <c r="I13" s="174"/>
      <c r="J13" s="181">
        <f t="shared" si="1"/>
        <v>0.49199999999999999</v>
      </c>
      <c r="K13" s="77">
        <v>0.191</v>
      </c>
      <c r="L13" s="33">
        <v>0.1467</v>
      </c>
      <c r="M13" s="33"/>
      <c r="N13" s="33"/>
      <c r="O13" s="33"/>
      <c r="P13" s="33"/>
      <c r="Q13" s="175">
        <f t="shared" si="2"/>
        <v>14.3727</v>
      </c>
      <c r="R13" s="47"/>
    </row>
    <row r="14" spans="1:18">
      <c r="A14" s="172" t="s">
        <v>0</v>
      </c>
      <c r="B14" s="307"/>
      <c r="C14" s="177" t="s">
        <v>13</v>
      </c>
      <c r="D14" s="209">
        <v>13686.926336488372</v>
      </c>
      <c r="E14" s="53">
        <v>16769.310000000001</v>
      </c>
      <c r="F14" s="178">
        <f t="shared" si="0"/>
        <v>30456.236336488371</v>
      </c>
      <c r="G14" s="78">
        <v>4021.866</v>
      </c>
      <c r="H14" s="78">
        <v>1400.0360000000001</v>
      </c>
      <c r="I14" s="179"/>
      <c r="J14" s="178">
        <f t="shared" si="1"/>
        <v>1400.0360000000001</v>
      </c>
      <c r="K14" s="78">
        <v>526.11099999999999</v>
      </c>
      <c r="L14" s="54">
        <v>448.71800000000002</v>
      </c>
      <c r="M14" s="54"/>
      <c r="N14" s="54"/>
      <c r="O14" s="54"/>
      <c r="P14" s="54"/>
      <c r="Q14" s="180">
        <f t="shared" si="2"/>
        <v>36852.967336488371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10.0162</v>
      </c>
      <c r="E15" s="52">
        <v>2.52E-2</v>
      </c>
      <c r="F15" s="181">
        <f t="shared" si="0"/>
        <v>10.041399999999999</v>
      </c>
      <c r="G15" s="77">
        <v>0.46929999999999999</v>
      </c>
      <c r="H15" s="77">
        <v>0.1686</v>
      </c>
      <c r="I15" s="174"/>
      <c r="J15" s="181">
        <f t="shared" si="1"/>
        <v>0.1686</v>
      </c>
      <c r="K15" s="77">
        <v>0.77100000000000002</v>
      </c>
      <c r="L15" s="33">
        <v>0.30270000000000002</v>
      </c>
      <c r="M15" s="33"/>
      <c r="N15" s="33">
        <v>0</v>
      </c>
      <c r="O15" s="33"/>
      <c r="P15" s="33"/>
      <c r="Q15" s="175">
        <f t="shared" si="2"/>
        <v>11.753</v>
      </c>
      <c r="R15" s="47"/>
    </row>
    <row r="16" spans="1:18">
      <c r="A16" s="176" t="s">
        <v>0</v>
      </c>
      <c r="B16" s="307"/>
      <c r="C16" s="177" t="s">
        <v>13</v>
      </c>
      <c r="D16" s="209">
        <v>6114.6035716263232</v>
      </c>
      <c r="E16" s="53">
        <v>14.423999999999999</v>
      </c>
      <c r="F16" s="178">
        <f t="shared" si="0"/>
        <v>6129.0275716263232</v>
      </c>
      <c r="G16" s="78">
        <v>390.14699999999999</v>
      </c>
      <c r="H16" s="78">
        <v>231.04599999999999</v>
      </c>
      <c r="I16" s="179"/>
      <c r="J16" s="178">
        <f t="shared" si="1"/>
        <v>231.04599999999999</v>
      </c>
      <c r="K16" s="78">
        <v>953.70399999999995</v>
      </c>
      <c r="L16" s="54">
        <v>346.21199999999999</v>
      </c>
      <c r="M16" s="54"/>
      <c r="N16" s="54">
        <v>25.92</v>
      </c>
      <c r="O16" s="54"/>
      <c r="P16" s="54"/>
      <c r="Q16" s="180">
        <f t="shared" si="2"/>
        <v>8076.0565716263227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37.363799999999998</v>
      </c>
      <c r="E17" s="52">
        <v>22.01</v>
      </c>
      <c r="F17" s="181">
        <f t="shared" si="0"/>
        <v>59.373800000000003</v>
      </c>
      <c r="G17" s="77">
        <v>621.00239999999997</v>
      </c>
      <c r="H17" s="77">
        <v>275.33</v>
      </c>
      <c r="I17" s="174"/>
      <c r="J17" s="181">
        <f t="shared" si="1"/>
        <v>275.33</v>
      </c>
      <c r="K17" s="77">
        <v>22.084</v>
      </c>
      <c r="L17" s="33">
        <v>0.22550000000000001</v>
      </c>
      <c r="M17" s="33"/>
      <c r="N17" s="33"/>
      <c r="O17" s="33"/>
      <c r="P17" s="33"/>
      <c r="Q17" s="175">
        <f t="shared" si="2"/>
        <v>978.01569999999981</v>
      </c>
      <c r="R17" s="47"/>
    </row>
    <row r="18" spans="1:18">
      <c r="A18" s="176"/>
      <c r="B18" s="307"/>
      <c r="C18" s="177" t="s">
        <v>13</v>
      </c>
      <c r="D18" s="209">
        <v>32479.937129282913</v>
      </c>
      <c r="E18" s="53">
        <v>30197.874</v>
      </c>
      <c r="F18" s="178">
        <f t="shared" si="0"/>
        <v>62677.811129282913</v>
      </c>
      <c r="G18" s="78">
        <v>179193.38500000001</v>
      </c>
      <c r="H18" s="78">
        <v>59378.620999999999</v>
      </c>
      <c r="I18" s="179"/>
      <c r="J18" s="178">
        <f t="shared" si="1"/>
        <v>59378.620999999999</v>
      </c>
      <c r="K18" s="78">
        <v>4505.2619999999997</v>
      </c>
      <c r="L18" s="54">
        <v>303.13</v>
      </c>
      <c r="M18" s="54"/>
      <c r="N18" s="54"/>
      <c r="O18" s="54"/>
      <c r="P18" s="54"/>
      <c r="Q18" s="180">
        <f t="shared" si="2"/>
        <v>306058.20912928291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28.6236</v>
      </c>
      <c r="E19" s="52">
        <v>10.4726</v>
      </c>
      <c r="F19" s="181">
        <f t="shared" si="0"/>
        <v>39.096199999999996</v>
      </c>
      <c r="G19" s="77">
        <v>125.334</v>
      </c>
      <c r="H19" s="77">
        <v>224.97499999999999</v>
      </c>
      <c r="I19" s="174"/>
      <c r="J19" s="181">
        <f t="shared" si="1"/>
        <v>224.97499999999999</v>
      </c>
      <c r="K19" s="77">
        <v>25.097000000000001</v>
      </c>
      <c r="L19" s="33"/>
      <c r="M19" s="33"/>
      <c r="N19" s="33"/>
      <c r="O19" s="33"/>
      <c r="P19" s="33"/>
      <c r="Q19" s="175">
        <f t="shared" si="2"/>
        <v>414.50220000000002</v>
      </c>
      <c r="R19" s="47"/>
    </row>
    <row r="20" spans="1:18">
      <c r="A20" s="176"/>
      <c r="B20" s="177" t="s">
        <v>28</v>
      </c>
      <c r="C20" s="177" t="s">
        <v>13</v>
      </c>
      <c r="D20" s="209">
        <v>20018.346387108602</v>
      </c>
      <c r="E20" s="53">
        <v>5559.6080000000002</v>
      </c>
      <c r="F20" s="178">
        <f t="shared" si="0"/>
        <v>25577.954387108603</v>
      </c>
      <c r="G20" s="78">
        <v>52414.216</v>
      </c>
      <c r="H20" s="78">
        <v>54713.758999999998</v>
      </c>
      <c r="I20" s="179"/>
      <c r="J20" s="178">
        <f t="shared" si="1"/>
        <v>54713.758999999998</v>
      </c>
      <c r="K20" s="78">
        <v>7190.71</v>
      </c>
      <c r="L20" s="54"/>
      <c r="M20" s="54"/>
      <c r="N20" s="54"/>
      <c r="O20" s="54"/>
      <c r="P20" s="54"/>
      <c r="Q20" s="180">
        <f t="shared" si="2"/>
        <v>139896.63938710859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518.48400000000004</v>
      </c>
      <c r="E21" s="52">
        <v>106.31399999999999</v>
      </c>
      <c r="F21" s="181">
        <f t="shared" si="0"/>
        <v>624.798</v>
      </c>
      <c r="G21" s="77">
        <v>2076.2289999999998</v>
      </c>
      <c r="H21" s="77">
        <v>627.44200000000001</v>
      </c>
      <c r="I21" s="174"/>
      <c r="J21" s="181">
        <f t="shared" si="1"/>
        <v>627.44200000000001</v>
      </c>
      <c r="K21" s="77">
        <v>225.738</v>
      </c>
      <c r="L21" s="33"/>
      <c r="M21" s="33"/>
      <c r="N21" s="33"/>
      <c r="O21" s="33"/>
      <c r="P21" s="33"/>
      <c r="Q21" s="175">
        <f t="shared" si="2"/>
        <v>3554.2069999999999</v>
      </c>
      <c r="R21" s="47"/>
    </row>
    <row r="22" spans="1:18">
      <c r="A22" s="27"/>
      <c r="B22" s="307"/>
      <c r="C22" s="177" t="s">
        <v>13</v>
      </c>
      <c r="D22" s="209">
        <v>163458.90536149946</v>
      </c>
      <c r="E22" s="53">
        <v>39263.847999999998</v>
      </c>
      <c r="F22" s="178">
        <f t="shared" si="0"/>
        <v>202722.75336149946</v>
      </c>
      <c r="G22" s="78">
        <v>631439.66599999997</v>
      </c>
      <c r="H22" s="78">
        <v>167249.93299999999</v>
      </c>
      <c r="I22" s="179"/>
      <c r="J22" s="178">
        <f t="shared" si="1"/>
        <v>167249.93299999999</v>
      </c>
      <c r="K22" s="78">
        <v>59459.625999999997</v>
      </c>
      <c r="L22" s="54"/>
      <c r="M22" s="54"/>
      <c r="N22" s="54"/>
      <c r="O22" s="54"/>
      <c r="P22" s="54"/>
      <c r="Q22" s="180">
        <f t="shared" si="2"/>
        <v>1060871.9783614993</v>
      </c>
      <c r="R22" s="47"/>
    </row>
    <row r="23" spans="1:18">
      <c r="A23" s="27"/>
      <c r="B23" s="308" t="s">
        <v>19</v>
      </c>
      <c r="C23" s="48" t="s">
        <v>11</v>
      </c>
      <c r="D23" s="33">
        <f t="shared" ref="D23:D24" si="6">D13+D15+D17+D19+D21</f>
        <v>600.096</v>
      </c>
      <c r="E23" s="33">
        <f t="shared" ref="E23:E24" si="7">+E13+E15+E17+E19+E21</f>
        <v>144.27420000000001</v>
      </c>
      <c r="F23" s="181">
        <f t="shared" si="0"/>
        <v>744.37020000000007</v>
      </c>
      <c r="G23" s="49">
        <f t="shared" ref="G23:H24" si="8">+G13+G15+G17+G19+G21</f>
        <v>2825.5168999999996</v>
      </c>
      <c r="H23" s="49">
        <f t="shared" si="8"/>
        <v>1128.4076</v>
      </c>
      <c r="I23" s="50"/>
      <c r="J23" s="181">
        <f t="shared" si="1"/>
        <v>1128.4076</v>
      </c>
      <c r="K23" s="49">
        <f t="shared" ref="K23:L24" si="9">+K13+K15+K17+K19+K21</f>
        <v>273.88099999999997</v>
      </c>
      <c r="L23" s="33">
        <f t="shared" si="9"/>
        <v>0.67490000000000006</v>
      </c>
      <c r="M23" s="33"/>
      <c r="N23" s="33">
        <f>+N13+N15+N17+N19+N21</f>
        <v>0</v>
      </c>
      <c r="O23" s="33"/>
      <c r="P23" s="33"/>
      <c r="Q23" s="175">
        <f t="shared" si="2"/>
        <v>4972.8506000000007</v>
      </c>
      <c r="R23" s="47"/>
    </row>
    <row r="24" spans="1:18">
      <c r="A24" s="183"/>
      <c r="B24" s="309"/>
      <c r="C24" s="177" t="s">
        <v>13</v>
      </c>
      <c r="D24" s="54">
        <f t="shared" si="6"/>
        <v>235758.71878600569</v>
      </c>
      <c r="E24" s="54">
        <f t="shared" si="7"/>
        <v>91805.063999999998</v>
      </c>
      <c r="F24" s="178">
        <f t="shared" si="0"/>
        <v>327563.7827860057</v>
      </c>
      <c r="G24" s="68">
        <f>+G14+G16+G18+G20+G22</f>
        <v>867459.28</v>
      </c>
      <c r="H24" s="68">
        <f t="shared" si="8"/>
        <v>282973.39500000002</v>
      </c>
      <c r="I24" s="63"/>
      <c r="J24" s="178">
        <f t="shared" si="1"/>
        <v>282973.39500000002</v>
      </c>
      <c r="K24" s="68">
        <f t="shared" si="9"/>
        <v>72635.413</v>
      </c>
      <c r="L24" s="54">
        <f t="shared" si="9"/>
        <v>1098.06</v>
      </c>
      <c r="M24" s="54"/>
      <c r="N24" s="54">
        <f>+N14+N16+N18+N20+N22</f>
        <v>25.92</v>
      </c>
      <c r="O24" s="54"/>
      <c r="P24" s="54"/>
      <c r="Q24" s="180">
        <f t="shared" si="2"/>
        <v>1551755.8507860056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0.35370000000000001</v>
      </c>
      <c r="E25" s="52">
        <v>1.284</v>
      </c>
      <c r="F25" s="181">
        <f t="shared" si="0"/>
        <v>1.6377000000000002</v>
      </c>
      <c r="G25" s="77">
        <v>145.06290000000001</v>
      </c>
      <c r="H25" s="77"/>
      <c r="I25" s="174"/>
      <c r="J25" s="181">
        <f t="shared" si="1"/>
        <v>0</v>
      </c>
      <c r="K25" s="77"/>
      <c r="L25" s="33">
        <v>4.4999999999999997E-3</v>
      </c>
      <c r="M25" s="33"/>
      <c r="N25" s="33"/>
      <c r="O25" s="33"/>
      <c r="P25" s="33"/>
      <c r="Q25" s="175">
        <f t="shared" si="2"/>
        <v>146.70510000000002</v>
      </c>
      <c r="R25" s="47"/>
    </row>
    <row r="26" spans="1:18">
      <c r="A26" s="176" t="s">
        <v>31</v>
      </c>
      <c r="B26" s="307"/>
      <c r="C26" s="177" t="s">
        <v>13</v>
      </c>
      <c r="D26" s="209">
        <v>339.20639842597598</v>
      </c>
      <c r="E26" s="53">
        <v>779.38199999999995</v>
      </c>
      <c r="F26" s="178">
        <f t="shared" si="0"/>
        <v>1118.5883984259758</v>
      </c>
      <c r="G26" s="78">
        <v>146822.098</v>
      </c>
      <c r="H26" s="78"/>
      <c r="I26" s="179"/>
      <c r="J26" s="178">
        <f t="shared" si="1"/>
        <v>0</v>
      </c>
      <c r="K26" s="78"/>
      <c r="L26" s="54">
        <v>9.4770000000000003</v>
      </c>
      <c r="M26" s="54"/>
      <c r="N26" s="54"/>
      <c r="O26" s="54"/>
      <c r="P26" s="54"/>
      <c r="Q26" s="180">
        <f t="shared" si="2"/>
        <v>147950.163398426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6.234</v>
      </c>
      <c r="E27" s="52">
        <v>11.435</v>
      </c>
      <c r="F27" s="181">
        <f t="shared" si="0"/>
        <v>17.669</v>
      </c>
      <c r="G27" s="77">
        <v>67.362399999999994</v>
      </c>
      <c r="H27" s="77">
        <v>0.81599999999999995</v>
      </c>
      <c r="I27" s="174"/>
      <c r="J27" s="181">
        <f t="shared" si="1"/>
        <v>0.81599999999999995</v>
      </c>
      <c r="K27" s="77"/>
      <c r="L27" s="33">
        <v>0.26500000000000001</v>
      </c>
      <c r="M27" s="33"/>
      <c r="N27" s="33"/>
      <c r="O27" s="33"/>
      <c r="P27" s="33"/>
      <c r="Q27" s="175">
        <f t="shared" si="2"/>
        <v>86.112399999999994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209">
        <v>1436.8535933325491</v>
      </c>
      <c r="E28" s="53">
        <v>2935.703</v>
      </c>
      <c r="F28" s="178">
        <f t="shared" si="0"/>
        <v>4372.5565933325488</v>
      </c>
      <c r="G28" s="78">
        <v>19371.038</v>
      </c>
      <c r="H28" s="78">
        <v>40.457999999999998</v>
      </c>
      <c r="I28" s="179"/>
      <c r="J28" s="178">
        <f t="shared" si="1"/>
        <v>40.457999999999998</v>
      </c>
      <c r="K28" s="103"/>
      <c r="L28" s="54">
        <v>82.013999999999996</v>
      </c>
      <c r="M28" s="54"/>
      <c r="N28" s="54"/>
      <c r="O28" s="54"/>
      <c r="P28" s="54"/>
      <c r="Q28" s="180">
        <f t="shared" si="2"/>
        <v>23866.066593332547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f t="shared" ref="D29:D30" si="10">D25+D27</f>
        <v>6.5876999999999999</v>
      </c>
      <c r="E29" s="33">
        <f t="shared" ref="E29:E30" si="11">+E25+E27</f>
        <v>12.719000000000001</v>
      </c>
      <c r="F29" s="181">
        <f t="shared" si="0"/>
        <v>19.306699999999999</v>
      </c>
      <c r="G29" s="49">
        <f t="shared" ref="G29:H30" si="12">+G25+G27</f>
        <v>212.42529999999999</v>
      </c>
      <c r="H29" s="49">
        <f t="shared" si="12"/>
        <v>0.81599999999999995</v>
      </c>
      <c r="I29" s="50"/>
      <c r="J29" s="181">
        <f t="shared" si="1"/>
        <v>0.81599999999999995</v>
      </c>
      <c r="K29" s="49"/>
      <c r="L29" s="33">
        <f>+L25+L27</f>
        <v>0.26950000000000002</v>
      </c>
      <c r="M29" s="55"/>
      <c r="N29" s="33"/>
      <c r="O29" s="33"/>
      <c r="P29" s="33"/>
      <c r="Q29" s="175">
        <f t="shared" si="2"/>
        <v>232.8175</v>
      </c>
      <c r="R29" s="47"/>
    </row>
    <row r="30" spans="1:18">
      <c r="A30" s="183"/>
      <c r="B30" s="309"/>
      <c r="C30" s="177" t="s">
        <v>13</v>
      </c>
      <c r="D30" s="54">
        <f t="shared" si="10"/>
        <v>1776.059991758525</v>
      </c>
      <c r="E30" s="54">
        <f t="shared" si="11"/>
        <v>3715.085</v>
      </c>
      <c r="F30" s="178">
        <f t="shared" si="0"/>
        <v>5491.1449917585251</v>
      </c>
      <c r="G30" s="68">
        <f t="shared" si="12"/>
        <v>166193.136</v>
      </c>
      <c r="H30" s="68">
        <f t="shared" si="12"/>
        <v>40.457999999999998</v>
      </c>
      <c r="I30" s="63"/>
      <c r="J30" s="178">
        <f t="shared" si="1"/>
        <v>40.457999999999998</v>
      </c>
      <c r="K30" s="68"/>
      <c r="L30" s="54">
        <f>+L26+L28</f>
        <v>91.491</v>
      </c>
      <c r="M30" s="68"/>
      <c r="N30" s="54"/>
      <c r="O30" s="54"/>
      <c r="P30" s="54"/>
      <c r="Q30" s="180">
        <f t="shared" si="2"/>
        <v>171816.22999175853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1.0999999999999999E-2</v>
      </c>
      <c r="E31" s="52">
        <v>6.0000000000000001E-3</v>
      </c>
      <c r="F31" s="181">
        <f t="shared" si="0"/>
        <v>1.7000000000000001E-2</v>
      </c>
      <c r="G31" s="77">
        <v>49.031999999999996</v>
      </c>
      <c r="H31" s="77">
        <v>412.27839999999998</v>
      </c>
      <c r="I31" s="174"/>
      <c r="J31" s="181">
        <f t="shared" si="1"/>
        <v>412.27839999999998</v>
      </c>
      <c r="K31" s="77">
        <v>22.93</v>
      </c>
      <c r="L31" s="33">
        <v>0.24099999999999999</v>
      </c>
      <c r="M31" s="33"/>
      <c r="N31" s="33"/>
      <c r="O31" s="33"/>
      <c r="P31" s="33"/>
      <c r="Q31" s="175">
        <f t="shared" si="2"/>
        <v>484.49839999999995</v>
      </c>
      <c r="R31" s="47"/>
    </row>
    <row r="32" spans="1:18">
      <c r="A32" s="176" t="s">
        <v>36</v>
      </c>
      <c r="B32" s="307"/>
      <c r="C32" s="177" t="s">
        <v>13</v>
      </c>
      <c r="D32" s="53">
        <v>1.0907999949383462</v>
      </c>
      <c r="E32" s="53">
        <v>6.5000000000000002E-2</v>
      </c>
      <c r="F32" s="178">
        <f t="shared" si="0"/>
        <v>1.1557999949383462</v>
      </c>
      <c r="G32" s="78">
        <v>487.95600000000002</v>
      </c>
      <c r="H32" s="78">
        <v>94383.452999999994</v>
      </c>
      <c r="I32" s="179"/>
      <c r="J32" s="178">
        <f t="shared" si="1"/>
        <v>94383.452999999994</v>
      </c>
      <c r="K32" s="78">
        <v>3845.8870000000002</v>
      </c>
      <c r="L32" s="54">
        <v>33.954999999999998</v>
      </c>
      <c r="M32" s="54"/>
      <c r="N32" s="54"/>
      <c r="O32" s="54"/>
      <c r="P32" s="54"/>
      <c r="Q32" s="180">
        <f t="shared" si="2"/>
        <v>98752.406799994933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/>
      <c r="E33" s="52"/>
      <c r="F33" s="181">
        <f t="shared" si="0"/>
        <v>0</v>
      </c>
      <c r="G33" s="77"/>
      <c r="H33" s="77">
        <v>20.548999999999999</v>
      </c>
      <c r="I33" s="174"/>
      <c r="J33" s="181">
        <f t="shared" si="1"/>
        <v>20.548999999999999</v>
      </c>
      <c r="K33" s="77">
        <v>0.58299999999999996</v>
      </c>
      <c r="L33" s="33"/>
      <c r="M33" s="33"/>
      <c r="N33" s="33"/>
      <c r="O33" s="33"/>
      <c r="P33" s="33"/>
      <c r="Q33" s="175">
        <f t="shared" si="2"/>
        <v>21.131999999999998</v>
      </c>
      <c r="R33" s="47"/>
    </row>
    <row r="34" spans="1:18">
      <c r="A34" s="176" t="s">
        <v>38</v>
      </c>
      <c r="B34" s="307"/>
      <c r="C34" s="177" t="s">
        <v>13</v>
      </c>
      <c r="D34" s="53"/>
      <c r="E34" s="53"/>
      <c r="F34" s="178">
        <f t="shared" si="0"/>
        <v>0</v>
      </c>
      <c r="G34" s="78"/>
      <c r="H34" s="78">
        <v>4022.7759999999998</v>
      </c>
      <c r="I34" s="179"/>
      <c r="J34" s="178">
        <f t="shared" si="1"/>
        <v>4022.7759999999998</v>
      </c>
      <c r="K34" s="78">
        <v>4.1210000000000004</v>
      </c>
      <c r="L34" s="54"/>
      <c r="M34" s="54"/>
      <c r="N34" s="54"/>
      <c r="O34" s="54"/>
      <c r="P34" s="54"/>
      <c r="Q34" s="180">
        <f t="shared" si="2"/>
        <v>4026.8969999999999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3.5990000000000002</v>
      </c>
      <c r="I35" s="174"/>
      <c r="J35" s="181">
        <f t="shared" si="1"/>
        <v>3.5990000000000002</v>
      </c>
      <c r="K35" s="77">
        <v>5.226</v>
      </c>
      <c r="L35" s="33"/>
      <c r="M35" s="33"/>
      <c r="N35" s="33">
        <v>6.0000000000000001E-3</v>
      </c>
      <c r="O35" s="33"/>
      <c r="P35" s="33"/>
      <c r="Q35" s="175">
        <f t="shared" si="2"/>
        <v>8.8309999999999995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296.41199999999998</v>
      </c>
      <c r="I36" s="179"/>
      <c r="J36" s="178">
        <f t="shared" si="1"/>
        <v>296.41199999999998</v>
      </c>
      <c r="K36" s="78">
        <v>293.49200000000002</v>
      </c>
      <c r="L36" s="54"/>
      <c r="M36" s="54"/>
      <c r="N36" s="54">
        <v>2.16</v>
      </c>
      <c r="O36" s="54"/>
      <c r="P36" s="54"/>
      <c r="Q36" s="180">
        <f t="shared" si="2"/>
        <v>592.06399999999996</v>
      </c>
      <c r="R36" s="47"/>
    </row>
    <row r="37" spans="1:18">
      <c r="A37" s="27"/>
      <c r="B37" s="308" t="s">
        <v>19</v>
      </c>
      <c r="C37" s="48" t="s">
        <v>11</v>
      </c>
      <c r="D37" s="33">
        <f t="shared" ref="D37:D38" si="13">D31+D33+D35</f>
        <v>1.0999999999999999E-2</v>
      </c>
      <c r="E37" s="33">
        <f t="shared" ref="E37:E38" si="14">+E31+E33+E35</f>
        <v>6.0000000000000001E-3</v>
      </c>
      <c r="F37" s="181">
        <f t="shared" si="0"/>
        <v>1.7000000000000001E-2</v>
      </c>
      <c r="G37" s="49">
        <f t="shared" ref="G37:H38" si="15">+G31+G33+G35</f>
        <v>49.031999999999996</v>
      </c>
      <c r="H37" s="49">
        <f t="shared" si="15"/>
        <v>436.42639999999994</v>
      </c>
      <c r="I37" s="50"/>
      <c r="J37" s="181">
        <f t="shared" si="1"/>
        <v>436.42639999999994</v>
      </c>
      <c r="K37" s="49">
        <f t="shared" ref="K37:K38" si="16">+K31+K33+K35</f>
        <v>28.738999999999997</v>
      </c>
      <c r="L37" s="33">
        <f>+L31+L33+L35</f>
        <v>0.24099999999999999</v>
      </c>
      <c r="M37" s="33"/>
      <c r="N37" s="33">
        <f t="shared" ref="N37:N38" si="17">+N31+N33+N35</f>
        <v>6.0000000000000001E-3</v>
      </c>
      <c r="O37" s="33"/>
      <c r="P37" s="33"/>
      <c r="Q37" s="175">
        <f t="shared" si="2"/>
        <v>514.46139999999991</v>
      </c>
      <c r="R37" s="47"/>
    </row>
    <row r="38" spans="1:18">
      <c r="A38" s="183"/>
      <c r="B38" s="309"/>
      <c r="C38" s="177" t="s">
        <v>13</v>
      </c>
      <c r="D38" s="54">
        <f t="shared" si="13"/>
        <v>1.0907999949383462</v>
      </c>
      <c r="E38" s="54">
        <f t="shared" si="14"/>
        <v>6.5000000000000002E-2</v>
      </c>
      <c r="F38" s="178">
        <f t="shared" si="0"/>
        <v>1.1557999949383462</v>
      </c>
      <c r="G38" s="68">
        <f t="shared" si="15"/>
        <v>487.95600000000002</v>
      </c>
      <c r="H38" s="68">
        <f t="shared" si="15"/>
        <v>98702.640999999989</v>
      </c>
      <c r="I38" s="63"/>
      <c r="J38" s="178">
        <f t="shared" si="1"/>
        <v>98702.640999999989</v>
      </c>
      <c r="K38" s="68">
        <f t="shared" si="16"/>
        <v>4143.5</v>
      </c>
      <c r="L38" s="54">
        <f>+L32+L34+L36</f>
        <v>33.954999999999998</v>
      </c>
      <c r="M38" s="54"/>
      <c r="N38" s="54">
        <f t="shared" si="17"/>
        <v>2.16</v>
      </c>
      <c r="O38" s="54"/>
      <c r="P38" s="54"/>
      <c r="Q38" s="180">
        <f t="shared" si="2"/>
        <v>103371.36779999493</v>
      </c>
      <c r="R38" s="47"/>
    </row>
    <row r="39" spans="1:18">
      <c r="A39" s="310" t="s">
        <v>40</v>
      </c>
      <c r="B39" s="311"/>
      <c r="C39" s="48" t="s">
        <v>11</v>
      </c>
      <c r="D39" s="52">
        <v>5.1499999999999997E-2</v>
      </c>
      <c r="E39" s="52">
        <v>0.29110000000000003</v>
      </c>
      <c r="F39" s="181">
        <f t="shared" si="0"/>
        <v>0.34260000000000002</v>
      </c>
      <c r="G39" s="77">
        <v>0.46529999999999999</v>
      </c>
      <c r="H39" s="77">
        <v>70.8202</v>
      </c>
      <c r="I39" s="174"/>
      <c r="J39" s="181">
        <f t="shared" si="1"/>
        <v>70.8202</v>
      </c>
      <c r="K39" s="77">
        <v>89.8643</v>
      </c>
      <c r="L39" s="33">
        <v>1.04E-2</v>
      </c>
      <c r="M39" s="33"/>
      <c r="N39" s="33">
        <v>3.6700000000000003E-2</v>
      </c>
      <c r="O39" s="33"/>
      <c r="P39" s="33">
        <v>4.0000000000000001E-3</v>
      </c>
      <c r="Q39" s="175">
        <f t="shared" si="2"/>
        <v>161.54349999999999</v>
      </c>
      <c r="R39" s="47"/>
    </row>
    <row r="40" spans="1:18">
      <c r="A40" s="312"/>
      <c r="B40" s="313"/>
      <c r="C40" s="177" t="s">
        <v>13</v>
      </c>
      <c r="D40" s="209">
        <v>89.666999583917033</v>
      </c>
      <c r="E40" s="53">
        <v>173.32300000000001</v>
      </c>
      <c r="F40" s="178">
        <f t="shared" si="0"/>
        <v>262.98999958391704</v>
      </c>
      <c r="G40" s="78">
        <v>300.38499999999999</v>
      </c>
      <c r="H40" s="78">
        <v>37083.762000000002</v>
      </c>
      <c r="I40" s="179"/>
      <c r="J40" s="178">
        <f t="shared" si="1"/>
        <v>37083.762000000002</v>
      </c>
      <c r="K40" s="78">
        <v>46352.970999999998</v>
      </c>
      <c r="L40" s="54">
        <v>8.4190000000000005</v>
      </c>
      <c r="M40" s="54"/>
      <c r="N40" s="54">
        <v>11.68</v>
      </c>
      <c r="O40" s="54"/>
      <c r="P40" s="54">
        <f>1.6*1.08</f>
        <v>1.7280000000000002</v>
      </c>
      <c r="Q40" s="180">
        <f t="shared" si="2"/>
        <v>84021.9349995839</v>
      </c>
      <c r="R40" s="47"/>
    </row>
    <row r="41" spans="1:18">
      <c r="A41" s="310" t="s">
        <v>41</v>
      </c>
      <c r="B41" s="311"/>
      <c r="C41" s="48" t="s">
        <v>11</v>
      </c>
      <c r="D41" s="52">
        <v>1.157</v>
      </c>
      <c r="E41" s="52">
        <v>0.21279999999999999</v>
      </c>
      <c r="F41" s="181">
        <f t="shared" si="0"/>
        <v>1.3698000000000001</v>
      </c>
      <c r="G41" s="77">
        <v>35.940100000000001</v>
      </c>
      <c r="H41" s="77">
        <v>280.77159999999998</v>
      </c>
      <c r="I41" s="174"/>
      <c r="J41" s="181">
        <f t="shared" si="1"/>
        <v>280.77159999999998</v>
      </c>
      <c r="K41" s="77">
        <v>52.661799999999999</v>
      </c>
      <c r="L41" s="33">
        <v>16.534600000000001</v>
      </c>
      <c r="M41" s="33"/>
      <c r="N41" s="33">
        <v>0.3589</v>
      </c>
      <c r="O41" s="33">
        <v>4.4600000000000001E-2</v>
      </c>
      <c r="P41" s="33"/>
      <c r="Q41" s="175">
        <f t="shared" si="2"/>
        <v>387.6814</v>
      </c>
      <c r="R41" s="47"/>
    </row>
    <row r="42" spans="1:18">
      <c r="A42" s="312"/>
      <c r="B42" s="313"/>
      <c r="C42" s="177" t="s">
        <v>13</v>
      </c>
      <c r="D42" s="209">
        <v>472.08419780938141</v>
      </c>
      <c r="E42" s="53">
        <v>57.417000000000002</v>
      </c>
      <c r="F42" s="178">
        <f t="shared" si="0"/>
        <v>529.50119780938144</v>
      </c>
      <c r="G42" s="78">
        <v>7086.9059999999999</v>
      </c>
      <c r="H42" s="78">
        <v>67300.588000000003</v>
      </c>
      <c r="I42" s="179"/>
      <c r="J42" s="178">
        <f t="shared" si="1"/>
        <v>67300.588000000003</v>
      </c>
      <c r="K42" s="78">
        <v>9208.5069999999996</v>
      </c>
      <c r="L42" s="54">
        <v>1412.6679999999999</v>
      </c>
      <c r="M42" s="54"/>
      <c r="N42" s="54">
        <v>25.498000000000001</v>
      </c>
      <c r="O42" s="54">
        <v>3.9969999999999999</v>
      </c>
      <c r="P42" s="54"/>
      <c r="Q42" s="180">
        <f t="shared" si="2"/>
        <v>85567.665197809401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0</v>
      </c>
      <c r="H45" s="77"/>
      <c r="I45" s="174"/>
      <c r="J45" s="181">
        <f t="shared" si="1"/>
        <v>0</v>
      </c>
      <c r="K45" s="77"/>
      <c r="L45" s="33"/>
      <c r="M45" s="33"/>
      <c r="N45" s="33"/>
      <c r="O45" s="33"/>
      <c r="P45" s="33"/>
      <c r="Q45" s="175">
        <f t="shared" si="2"/>
        <v>0</v>
      </c>
      <c r="R45" s="47"/>
    </row>
    <row r="46" spans="1:18">
      <c r="A46" s="312"/>
      <c r="B46" s="313"/>
      <c r="C46" s="177" t="s">
        <v>13</v>
      </c>
      <c r="D46" s="209"/>
      <c r="E46" s="53"/>
      <c r="F46" s="178">
        <f t="shared" si="0"/>
        <v>0</v>
      </c>
      <c r="G46" s="78">
        <v>4.5359999999999996</v>
      </c>
      <c r="H46" s="78"/>
      <c r="I46" s="179"/>
      <c r="J46" s="178">
        <f t="shared" si="1"/>
        <v>0</v>
      </c>
      <c r="K46" s="78"/>
      <c r="L46" s="54"/>
      <c r="M46" s="54"/>
      <c r="N46" s="54"/>
      <c r="O46" s="54"/>
      <c r="P46" s="54"/>
      <c r="Q46" s="180">
        <f t="shared" si="2"/>
        <v>4.5359999999999996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/>
      <c r="H47" s="77">
        <v>3.2599999999999997E-2</v>
      </c>
      <c r="I47" s="174"/>
      <c r="J47" s="181">
        <f t="shared" si="1"/>
        <v>3.2599999999999997E-2</v>
      </c>
      <c r="K47" s="77"/>
      <c r="L47" s="33"/>
      <c r="M47" s="33"/>
      <c r="N47" s="33"/>
      <c r="O47" s="33"/>
      <c r="P47" s="33"/>
      <c r="Q47" s="175">
        <f t="shared" si="2"/>
        <v>3.2599999999999997E-2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/>
      <c r="H48" s="78">
        <v>5.5739999999999998</v>
      </c>
      <c r="I48" s="179"/>
      <c r="J48" s="178">
        <f t="shared" si="1"/>
        <v>5.5739999999999998</v>
      </c>
      <c r="K48" s="78"/>
      <c r="L48" s="54"/>
      <c r="M48" s="54"/>
      <c r="N48" s="54"/>
      <c r="O48" s="54"/>
      <c r="P48" s="54"/>
      <c r="Q48" s="180">
        <f t="shared" si="2"/>
        <v>5.5739999999999998</v>
      </c>
      <c r="R48" s="47"/>
    </row>
    <row r="49" spans="1:18">
      <c r="A49" s="310" t="s">
        <v>45</v>
      </c>
      <c r="B49" s="311"/>
      <c r="C49" s="48" t="s">
        <v>11</v>
      </c>
      <c r="D49" s="52">
        <v>11.3924</v>
      </c>
      <c r="E49" s="52">
        <v>180.03299999999999</v>
      </c>
      <c r="F49" s="181">
        <f t="shared" si="0"/>
        <v>191.4254</v>
      </c>
      <c r="G49" s="77">
        <v>948.50750000000005</v>
      </c>
      <c r="H49" s="77">
        <v>849.31939999999997</v>
      </c>
      <c r="I49" s="174"/>
      <c r="J49" s="181">
        <f t="shared" si="1"/>
        <v>849.31939999999997</v>
      </c>
      <c r="K49" s="77">
        <v>1029.7725</v>
      </c>
      <c r="L49" s="33">
        <v>0.2243</v>
      </c>
      <c r="M49" s="33"/>
      <c r="N49" s="33"/>
      <c r="O49" s="33"/>
      <c r="P49" s="33">
        <v>6.7000000000000002E-3</v>
      </c>
      <c r="Q49" s="175">
        <f t="shared" si="2"/>
        <v>3019.2557999999999</v>
      </c>
      <c r="R49" s="47"/>
    </row>
    <row r="50" spans="1:18">
      <c r="A50" s="312"/>
      <c r="B50" s="313"/>
      <c r="C50" s="177" t="s">
        <v>13</v>
      </c>
      <c r="D50" s="209">
        <v>800.34047628616941</v>
      </c>
      <c r="E50" s="53">
        <v>12820.324000000001</v>
      </c>
      <c r="F50" s="178">
        <f t="shared" si="0"/>
        <v>13620.664476286171</v>
      </c>
      <c r="G50" s="78">
        <v>56455.438999999998</v>
      </c>
      <c r="H50" s="78">
        <v>73904.504000000001</v>
      </c>
      <c r="I50" s="179"/>
      <c r="J50" s="178">
        <f t="shared" si="1"/>
        <v>73904.504000000001</v>
      </c>
      <c r="K50" s="78">
        <v>78067.664999999994</v>
      </c>
      <c r="L50" s="54">
        <v>24.922000000000001</v>
      </c>
      <c r="M50" s="54"/>
      <c r="N50" s="54"/>
      <c r="O50" s="54"/>
      <c r="P50" s="54">
        <f>1.65*1.08</f>
        <v>1.782</v>
      </c>
      <c r="Q50" s="180">
        <f t="shared" si="2"/>
        <v>222074.97647628616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0.11</v>
      </c>
      <c r="F51" s="181">
        <f t="shared" si="0"/>
        <v>0.11</v>
      </c>
      <c r="G51" s="77"/>
      <c r="H51" s="77"/>
      <c r="I51" s="174"/>
      <c r="J51" s="181">
        <f t="shared" si="1"/>
        <v>0</v>
      </c>
      <c r="K51" s="77"/>
      <c r="L51" s="33"/>
      <c r="M51" s="33"/>
      <c r="N51" s="33"/>
      <c r="O51" s="33"/>
      <c r="P51" s="33"/>
      <c r="Q51" s="175">
        <f t="shared" si="2"/>
        <v>0.11</v>
      </c>
      <c r="R51" s="47"/>
    </row>
    <row r="52" spans="1:18">
      <c r="A52" s="312"/>
      <c r="B52" s="313"/>
      <c r="C52" s="177" t="s">
        <v>13</v>
      </c>
      <c r="D52" s="209"/>
      <c r="E52" s="53">
        <v>98.28</v>
      </c>
      <c r="F52" s="178">
        <f t="shared" si="0"/>
        <v>98.28</v>
      </c>
      <c r="G52" s="78"/>
      <c r="H52" s="78"/>
      <c r="I52" s="179"/>
      <c r="J52" s="178">
        <f t="shared" si="1"/>
        <v>0</v>
      </c>
      <c r="K52" s="78"/>
      <c r="L52" s="54"/>
      <c r="M52" s="54"/>
      <c r="N52" s="54"/>
      <c r="O52" s="54"/>
      <c r="P52" s="54"/>
      <c r="Q52" s="180">
        <f t="shared" si="2"/>
        <v>98.28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>
        <v>2.3E-3</v>
      </c>
      <c r="F53" s="181">
        <f t="shared" si="0"/>
        <v>2.3E-3</v>
      </c>
      <c r="G53" s="77">
        <v>1.5407999999999999</v>
      </c>
      <c r="H53" s="77">
        <v>0.50800000000000001</v>
      </c>
      <c r="I53" s="174"/>
      <c r="J53" s="181">
        <f t="shared" si="1"/>
        <v>0.50800000000000001</v>
      </c>
      <c r="K53" s="77">
        <v>3087.0113000000001</v>
      </c>
      <c r="L53" s="33">
        <v>472.59500000000003</v>
      </c>
      <c r="M53" s="33"/>
      <c r="N53" s="33">
        <v>1.1999999999999999E-3</v>
      </c>
      <c r="O53" s="33"/>
      <c r="P53" s="33"/>
      <c r="Q53" s="175">
        <f t="shared" si="2"/>
        <v>3561.6586000000002</v>
      </c>
      <c r="R53" s="47"/>
    </row>
    <row r="54" spans="1:18">
      <c r="A54" s="312"/>
      <c r="B54" s="313"/>
      <c r="C54" s="177" t="s">
        <v>13</v>
      </c>
      <c r="D54" s="209"/>
      <c r="E54" s="53">
        <v>2.9809999999999999</v>
      </c>
      <c r="F54" s="178">
        <f t="shared" si="0"/>
        <v>2.9809999999999999</v>
      </c>
      <c r="G54" s="78">
        <v>1875.86</v>
      </c>
      <c r="H54" s="78">
        <v>547.82799999999997</v>
      </c>
      <c r="I54" s="179"/>
      <c r="J54" s="178">
        <f t="shared" si="1"/>
        <v>547.82799999999997</v>
      </c>
      <c r="K54" s="78">
        <v>1696746.7120000001</v>
      </c>
      <c r="L54" s="54">
        <v>259761.15299999999</v>
      </c>
      <c r="M54" s="54"/>
      <c r="N54" s="54">
        <v>0.51800000000000002</v>
      </c>
      <c r="O54" s="54"/>
      <c r="P54" s="54"/>
      <c r="Q54" s="180">
        <f t="shared" si="2"/>
        <v>1958935.0519999999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0.57489999999999997</v>
      </c>
      <c r="E55" s="52"/>
      <c r="F55" s="181">
        <f t="shared" si="0"/>
        <v>0.57489999999999997</v>
      </c>
      <c r="G55" s="77">
        <v>0.186</v>
      </c>
      <c r="H55" s="77">
        <v>27.824999999999999</v>
      </c>
      <c r="I55" s="174"/>
      <c r="J55" s="181">
        <f t="shared" si="1"/>
        <v>27.824999999999999</v>
      </c>
      <c r="K55" s="77">
        <v>8.1689000000000007</v>
      </c>
      <c r="L55" s="33">
        <v>4.19E-2</v>
      </c>
      <c r="M55" s="33">
        <v>5.0000000000000001E-3</v>
      </c>
      <c r="N55" s="33">
        <v>0.27239999999999998</v>
      </c>
      <c r="O55" s="33">
        <v>8.5500000000000007E-2</v>
      </c>
      <c r="P55" s="33">
        <v>0.22370000000000001</v>
      </c>
      <c r="Q55" s="175">
        <f t="shared" si="2"/>
        <v>37.383300000000006</v>
      </c>
      <c r="R55" s="47"/>
    </row>
    <row r="56" spans="1:18">
      <c r="A56" s="176" t="s">
        <v>36</v>
      </c>
      <c r="B56" s="307"/>
      <c r="C56" s="177" t="s">
        <v>13</v>
      </c>
      <c r="D56" s="209">
        <v>501.85223767124836</v>
      </c>
      <c r="E56" s="53"/>
      <c r="F56" s="178">
        <f t="shared" si="0"/>
        <v>501.85223767124836</v>
      </c>
      <c r="G56" s="78">
        <v>335.69099999999997</v>
      </c>
      <c r="H56" s="78">
        <v>14253.332</v>
      </c>
      <c r="I56" s="179"/>
      <c r="J56" s="178">
        <f t="shared" si="1"/>
        <v>14253.332</v>
      </c>
      <c r="K56" s="78">
        <v>3484.9459999999999</v>
      </c>
      <c r="L56" s="54">
        <v>45.43</v>
      </c>
      <c r="M56" s="54">
        <f>3.5*1.08</f>
        <v>3.7800000000000002</v>
      </c>
      <c r="N56" s="54">
        <v>213.505</v>
      </c>
      <c r="O56" s="54">
        <v>88.893000000000001</v>
      </c>
      <c r="P56" s="54">
        <f>153.28*1.08</f>
        <v>165.54240000000001</v>
      </c>
      <c r="Q56" s="180">
        <f t="shared" si="2"/>
        <v>19092.971637671246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0.18720000000000001</v>
      </c>
      <c r="E57" s="52">
        <v>0.31780000000000003</v>
      </c>
      <c r="F57" s="181">
        <f t="shared" si="0"/>
        <v>0.505</v>
      </c>
      <c r="G57" s="77">
        <v>0.3019</v>
      </c>
      <c r="H57" s="77">
        <v>0.14399999999999999</v>
      </c>
      <c r="I57" s="174"/>
      <c r="J57" s="181">
        <f t="shared" si="1"/>
        <v>0.14399999999999999</v>
      </c>
      <c r="K57" s="77">
        <v>1.137</v>
      </c>
      <c r="L57" s="33">
        <v>3.8600000000000002E-2</v>
      </c>
      <c r="M57" s="33"/>
      <c r="N57" s="33">
        <v>4.8099999999999997E-2</v>
      </c>
      <c r="O57" s="33"/>
      <c r="P57" s="33">
        <v>4.4999999999999997E-3</v>
      </c>
      <c r="Q57" s="175">
        <f t="shared" si="2"/>
        <v>2.1791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223">
        <v>12.311999942868463</v>
      </c>
      <c r="E58" s="53">
        <v>203.87100000000001</v>
      </c>
      <c r="F58" s="178">
        <f t="shared" si="0"/>
        <v>216.18299994286846</v>
      </c>
      <c r="G58" s="78">
        <v>193.464</v>
      </c>
      <c r="H58" s="78">
        <v>201.56899999999999</v>
      </c>
      <c r="I58" s="179"/>
      <c r="J58" s="178">
        <f t="shared" si="1"/>
        <v>201.56899999999999</v>
      </c>
      <c r="K58" s="78">
        <v>368.53899999999999</v>
      </c>
      <c r="L58" s="54">
        <v>19.027999999999999</v>
      </c>
      <c r="M58" s="54"/>
      <c r="N58" s="54">
        <v>23.619</v>
      </c>
      <c r="O58" s="54"/>
      <c r="P58" s="54">
        <f>5.66*1.08</f>
        <v>6.1128000000000009</v>
      </c>
      <c r="Q58" s="180">
        <f t="shared" si="2"/>
        <v>1028.5147999428684</v>
      </c>
      <c r="R58" s="47"/>
    </row>
    <row r="59" spans="1:18">
      <c r="A59" s="27"/>
      <c r="B59" s="308" t="s">
        <v>19</v>
      </c>
      <c r="C59" s="48" t="s">
        <v>11</v>
      </c>
      <c r="D59" s="33">
        <f t="shared" ref="D59:D60" si="18">D55+D57</f>
        <v>0.7621</v>
      </c>
      <c r="E59" s="33">
        <f t="shared" ref="E59:E60" si="19">+E55+E57</f>
        <v>0.31780000000000003</v>
      </c>
      <c r="F59" s="181">
        <f t="shared" si="0"/>
        <v>1.0799000000000001</v>
      </c>
      <c r="G59" s="49">
        <f t="shared" ref="G59:H60" si="20">+G55+G57</f>
        <v>0.4879</v>
      </c>
      <c r="H59" s="49">
        <f t="shared" si="20"/>
        <v>27.968999999999998</v>
      </c>
      <c r="I59" s="50"/>
      <c r="J59" s="181">
        <f t="shared" si="1"/>
        <v>27.968999999999998</v>
      </c>
      <c r="K59" s="49">
        <f t="shared" ref="K59:L60" si="21">+K55+K57</f>
        <v>9.3059000000000012</v>
      </c>
      <c r="L59" s="33">
        <f t="shared" si="21"/>
        <v>8.0500000000000002E-2</v>
      </c>
      <c r="M59" s="33">
        <f t="shared" ref="M59:O60" si="22">+M55+M57</f>
        <v>5.0000000000000001E-3</v>
      </c>
      <c r="N59" s="33">
        <f t="shared" si="22"/>
        <v>0.32049999999999995</v>
      </c>
      <c r="O59" s="33">
        <f t="shared" si="22"/>
        <v>8.5500000000000007E-2</v>
      </c>
      <c r="P59" s="33">
        <f t="shared" ref="P59:P60" si="23">P55+P57</f>
        <v>0.22820000000000001</v>
      </c>
      <c r="Q59" s="175">
        <f t="shared" si="2"/>
        <v>39.562400000000011</v>
      </c>
      <c r="R59" s="47"/>
    </row>
    <row r="60" spans="1:18">
      <c r="A60" s="183"/>
      <c r="B60" s="309"/>
      <c r="C60" s="177" t="s">
        <v>13</v>
      </c>
      <c r="D60" s="54">
        <f t="shared" si="18"/>
        <v>514.16423761411681</v>
      </c>
      <c r="E60" s="54">
        <f t="shared" si="19"/>
        <v>203.87100000000001</v>
      </c>
      <c r="F60" s="178">
        <f t="shared" si="0"/>
        <v>718.0352376141168</v>
      </c>
      <c r="G60" s="68">
        <f t="shared" si="20"/>
        <v>529.15499999999997</v>
      </c>
      <c r="H60" s="68">
        <f t="shared" si="20"/>
        <v>14454.901</v>
      </c>
      <c r="I60" s="63"/>
      <c r="J60" s="178">
        <f t="shared" si="1"/>
        <v>14454.901</v>
      </c>
      <c r="K60" s="68">
        <f t="shared" si="21"/>
        <v>3853.4849999999997</v>
      </c>
      <c r="L60" s="54">
        <f t="shared" si="21"/>
        <v>64.457999999999998</v>
      </c>
      <c r="M60" s="54">
        <f t="shared" si="22"/>
        <v>3.7800000000000002</v>
      </c>
      <c r="N60" s="54">
        <f t="shared" si="22"/>
        <v>237.124</v>
      </c>
      <c r="O60" s="54">
        <f t="shared" si="22"/>
        <v>88.893000000000001</v>
      </c>
      <c r="P60" s="54">
        <f t="shared" si="23"/>
        <v>171.65520000000001</v>
      </c>
      <c r="Q60" s="180">
        <f t="shared" si="2"/>
        <v>20121.486437614116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1.1964999999999999</v>
      </c>
      <c r="E61" s="52"/>
      <c r="F61" s="181">
        <f t="shared" si="0"/>
        <v>1.1964999999999999</v>
      </c>
      <c r="G61" s="77"/>
      <c r="H61" s="77">
        <v>6.5000000000000002E-2</v>
      </c>
      <c r="I61" s="174"/>
      <c r="J61" s="181">
        <f t="shared" si="1"/>
        <v>6.5000000000000002E-2</v>
      </c>
      <c r="K61" s="77"/>
      <c r="L61" s="33">
        <v>1E-3</v>
      </c>
      <c r="M61" s="33"/>
      <c r="N61" s="33"/>
      <c r="O61" s="33"/>
      <c r="P61" s="33"/>
      <c r="Q61" s="175">
        <f t="shared" si="2"/>
        <v>1.2624999999999997</v>
      </c>
      <c r="R61" s="47"/>
    </row>
    <row r="62" spans="1:18">
      <c r="A62" s="176" t="s">
        <v>51</v>
      </c>
      <c r="B62" s="307"/>
      <c r="C62" s="177" t="s">
        <v>13</v>
      </c>
      <c r="D62" s="209">
        <v>90.325799580859993</v>
      </c>
      <c r="E62" s="53"/>
      <c r="F62" s="178">
        <f t="shared" si="0"/>
        <v>90.325799580859993</v>
      </c>
      <c r="G62" s="78"/>
      <c r="H62" s="78">
        <v>1.9550000000000001</v>
      </c>
      <c r="I62" s="179"/>
      <c r="J62" s="178">
        <f t="shared" si="1"/>
        <v>1.9550000000000001</v>
      </c>
      <c r="K62" s="78"/>
      <c r="L62" s="54">
        <v>0.108</v>
      </c>
      <c r="M62" s="54"/>
      <c r="N62" s="54"/>
      <c r="O62" s="54"/>
      <c r="P62" s="54"/>
      <c r="Q62" s="180">
        <f t="shared" si="2"/>
        <v>92.388799580859995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/>
      <c r="E63" s="52">
        <v>12.49</v>
      </c>
      <c r="F63" s="181">
        <f t="shared" si="0"/>
        <v>12.49</v>
      </c>
      <c r="G63" s="77">
        <v>460.71300000000002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473.20300000000003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/>
      <c r="E64" s="53">
        <v>1060.2360000000001</v>
      </c>
      <c r="F64" s="178">
        <f t="shared" si="0"/>
        <v>1060.2360000000001</v>
      </c>
      <c r="G64" s="78">
        <v>65416.567999999999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66476.804000000004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219.774</v>
      </c>
      <c r="H65" s="77">
        <v>0.02</v>
      </c>
      <c r="I65" s="174"/>
      <c r="J65" s="181">
        <f t="shared" si="1"/>
        <v>0.02</v>
      </c>
      <c r="K65" s="77"/>
      <c r="L65" s="33"/>
      <c r="M65" s="33"/>
      <c r="N65" s="33"/>
      <c r="O65" s="33"/>
      <c r="P65" s="33"/>
      <c r="Q65" s="175">
        <f t="shared" si="2"/>
        <v>219.79400000000001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30281.883000000002</v>
      </c>
      <c r="H66" s="78">
        <v>1.62</v>
      </c>
      <c r="I66" s="179"/>
      <c r="J66" s="178">
        <f t="shared" si="1"/>
        <v>1.62</v>
      </c>
      <c r="K66" s="78"/>
      <c r="L66" s="54"/>
      <c r="M66" s="54"/>
      <c r="N66" s="54"/>
      <c r="O66" s="54"/>
      <c r="P66" s="54"/>
      <c r="Q66" s="180">
        <f t="shared" si="2"/>
        <v>30283.503000000001</v>
      </c>
      <c r="R66" s="47"/>
    </row>
    <row r="67" spans="1:18">
      <c r="A67" s="27"/>
      <c r="B67" s="46" t="s">
        <v>15</v>
      </c>
      <c r="C67" s="48" t="s">
        <v>11</v>
      </c>
      <c r="D67" s="52"/>
      <c r="E67" s="52">
        <v>0.19800000000000001</v>
      </c>
      <c r="F67" s="181">
        <f t="shared" si="0"/>
        <v>0.19800000000000001</v>
      </c>
      <c r="G67" s="77">
        <v>114.712</v>
      </c>
      <c r="H67" s="77"/>
      <c r="I67" s="174"/>
      <c r="J67" s="181">
        <f t="shared" si="1"/>
        <v>0</v>
      </c>
      <c r="K67" s="77">
        <v>0.02</v>
      </c>
      <c r="L67" s="33"/>
      <c r="M67" s="33"/>
      <c r="N67" s="33"/>
      <c r="O67" s="33"/>
      <c r="P67" s="33"/>
      <c r="Q67" s="175">
        <f t="shared" si="2"/>
        <v>114.92999999999999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210"/>
      <c r="E68" s="56">
        <v>9.9949999999999992</v>
      </c>
      <c r="F68" s="185">
        <f t="shared" si="0"/>
        <v>9.9949999999999992</v>
      </c>
      <c r="G68" s="79">
        <v>14635.867</v>
      </c>
      <c r="H68" s="79"/>
      <c r="I68" s="186"/>
      <c r="J68" s="185">
        <f t="shared" si="1"/>
        <v>0</v>
      </c>
      <c r="K68" s="79">
        <v>0.216</v>
      </c>
      <c r="L68" s="37"/>
      <c r="M68" s="37"/>
      <c r="N68" s="37"/>
      <c r="O68" s="37"/>
      <c r="P68" s="37"/>
      <c r="Q68" s="187">
        <f t="shared" si="2"/>
        <v>14646.078000000001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108</v>
      </c>
      <c r="C74" s="35"/>
      <c r="D74" s="113"/>
      <c r="E74" s="113"/>
      <c r="F74" s="188"/>
      <c r="G74" s="145"/>
      <c r="H74" s="145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f t="shared" ref="D76:D77" si="24">D61+D63+D65+D67</f>
        <v>1.1964999999999999</v>
      </c>
      <c r="E76" s="33">
        <f t="shared" ref="E76:E77" si="25">+E61+E63+E65+E67</f>
        <v>12.688000000000001</v>
      </c>
      <c r="F76" s="191">
        <f t="shared" ref="F76:F133" si="26">SUM(D76:E76)</f>
        <v>13.884500000000001</v>
      </c>
      <c r="G76" s="49">
        <f t="shared" ref="G76:H77" si="27">+G61+G63+G65+G67</f>
        <v>795.19900000000007</v>
      </c>
      <c r="H76" s="49">
        <f t="shared" si="27"/>
        <v>8.5000000000000006E-2</v>
      </c>
      <c r="I76" s="50"/>
      <c r="J76" s="191">
        <f t="shared" ref="J76:J133" si="28">SUM(H76:I76)</f>
        <v>8.5000000000000006E-2</v>
      </c>
      <c r="K76" s="49">
        <f t="shared" ref="K76:L77" si="29">+K61+K63+K65+K67</f>
        <v>0.02</v>
      </c>
      <c r="L76" s="33">
        <f t="shared" si="29"/>
        <v>1E-3</v>
      </c>
      <c r="M76" s="33"/>
      <c r="N76" s="33"/>
      <c r="O76" s="33"/>
      <c r="P76" s="33"/>
      <c r="Q76" s="175">
        <f t="shared" ref="Q76:Q140" si="30">SUM(F76:G76,J76:P76)</f>
        <v>809.18950000000007</v>
      </c>
      <c r="R76" s="27"/>
    </row>
    <row r="77" spans="1:18">
      <c r="A77" s="166" t="s">
        <v>53</v>
      </c>
      <c r="B77" s="309"/>
      <c r="C77" s="192" t="s">
        <v>13</v>
      </c>
      <c r="D77" s="54">
        <f t="shared" si="24"/>
        <v>90.325799580859993</v>
      </c>
      <c r="E77" s="54">
        <f t="shared" si="25"/>
        <v>1070.231</v>
      </c>
      <c r="F77" s="193">
        <f t="shared" si="26"/>
        <v>1160.5567995808599</v>
      </c>
      <c r="G77" s="68">
        <f t="shared" si="27"/>
        <v>110334.318</v>
      </c>
      <c r="H77" s="68">
        <f t="shared" si="27"/>
        <v>3.5750000000000002</v>
      </c>
      <c r="I77" s="63"/>
      <c r="J77" s="193">
        <f t="shared" si="28"/>
        <v>3.5750000000000002</v>
      </c>
      <c r="K77" s="68">
        <f t="shared" si="29"/>
        <v>0.216</v>
      </c>
      <c r="L77" s="54">
        <f t="shared" si="29"/>
        <v>0.108</v>
      </c>
      <c r="M77" s="54"/>
      <c r="N77" s="54"/>
      <c r="O77" s="54"/>
      <c r="P77" s="54"/>
      <c r="Q77" s="180">
        <f t="shared" si="30"/>
        <v>111498.77379958086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31.802299999999999</v>
      </c>
      <c r="E78" s="52">
        <v>20.995100000000001</v>
      </c>
      <c r="F78" s="191">
        <f t="shared" si="26"/>
        <v>52.797399999999996</v>
      </c>
      <c r="G78" s="77">
        <v>5.9949000000000003</v>
      </c>
      <c r="H78" s="77">
        <v>154.44450000000001</v>
      </c>
      <c r="I78" s="174"/>
      <c r="J78" s="191">
        <f t="shared" si="28"/>
        <v>154.44450000000001</v>
      </c>
      <c r="K78" s="77">
        <v>7.3323</v>
      </c>
      <c r="L78" s="33">
        <v>5.9115000000000002</v>
      </c>
      <c r="M78" s="33">
        <v>0.1595</v>
      </c>
      <c r="N78" s="33">
        <v>54.55838</v>
      </c>
      <c r="O78" s="33">
        <v>21.581700000000001</v>
      </c>
      <c r="P78" s="33">
        <v>64.924880000000002</v>
      </c>
      <c r="Q78" s="175">
        <f t="shared" si="30"/>
        <v>367.70506</v>
      </c>
      <c r="R78" s="27"/>
    </row>
    <row r="79" spans="1:18">
      <c r="A79" s="176" t="s">
        <v>31</v>
      </c>
      <c r="B79" s="307"/>
      <c r="C79" s="192" t="s">
        <v>13</v>
      </c>
      <c r="D79" s="209">
        <v>21508.026020196019</v>
      </c>
      <c r="E79" s="53">
        <v>13783.133</v>
      </c>
      <c r="F79" s="193">
        <f t="shared" si="26"/>
        <v>35291.159020196021</v>
      </c>
      <c r="G79" s="78">
        <v>4535.2740000000003</v>
      </c>
      <c r="H79" s="78">
        <v>74662.490999999995</v>
      </c>
      <c r="I79" s="179"/>
      <c r="J79" s="193">
        <f t="shared" si="28"/>
        <v>74662.490999999995</v>
      </c>
      <c r="K79" s="78">
        <v>3360.703</v>
      </c>
      <c r="L79" s="54">
        <v>4051.5120000000002</v>
      </c>
      <c r="M79" s="54">
        <f>95.7*1.08</f>
        <v>103.35600000000001</v>
      </c>
      <c r="N79" s="54">
        <v>32187.655999999999</v>
      </c>
      <c r="O79" s="54">
        <v>11472.834000000001</v>
      </c>
      <c r="P79" s="54">
        <f>28410.276*1.08</f>
        <v>30683.098080000003</v>
      </c>
      <c r="Q79" s="180">
        <f t="shared" si="30"/>
        <v>196348.083100196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26"/>
        <v>0</v>
      </c>
      <c r="G80" s="77"/>
      <c r="H80" s="77">
        <v>4.8000000000000001E-2</v>
      </c>
      <c r="I80" s="174"/>
      <c r="J80" s="191">
        <f t="shared" si="28"/>
        <v>4.8000000000000001E-2</v>
      </c>
      <c r="K80" s="77"/>
      <c r="L80" s="33"/>
      <c r="M80" s="33"/>
      <c r="N80" s="33"/>
      <c r="O80" s="33"/>
      <c r="P80" s="33"/>
      <c r="Q80" s="175">
        <f t="shared" si="30"/>
        <v>4.8000000000000001E-2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26"/>
        <v>0</v>
      </c>
      <c r="G81" s="78"/>
      <c r="H81" s="78">
        <v>5.6159999999999997</v>
      </c>
      <c r="I81" s="179"/>
      <c r="J81" s="193">
        <f t="shared" si="28"/>
        <v>5.6159999999999997</v>
      </c>
      <c r="K81" s="78"/>
      <c r="L81" s="54"/>
      <c r="M81" s="54"/>
      <c r="N81" s="54"/>
      <c r="O81" s="54"/>
      <c r="P81" s="54"/>
      <c r="Q81" s="180">
        <f t="shared" si="30"/>
        <v>5.6159999999999997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6"/>
        <v>0</v>
      </c>
      <c r="G82" s="77"/>
      <c r="H82" s="77"/>
      <c r="I82" s="174"/>
      <c r="J82" s="191">
        <f t="shared" si="28"/>
        <v>0</v>
      </c>
      <c r="K82" s="77"/>
      <c r="L82" s="33"/>
      <c r="M82" s="33"/>
      <c r="N82" s="33"/>
      <c r="O82" s="33"/>
      <c r="P82" s="33"/>
      <c r="Q82" s="175">
        <f t="shared" si="30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6"/>
        <v>0</v>
      </c>
      <c r="G83" s="78"/>
      <c r="H83" s="78"/>
      <c r="I83" s="179"/>
      <c r="J83" s="193">
        <f t="shared" si="28"/>
        <v>0</v>
      </c>
      <c r="K83" s="78"/>
      <c r="L83" s="54"/>
      <c r="M83" s="54"/>
      <c r="N83" s="54"/>
      <c r="O83" s="54"/>
      <c r="P83" s="54"/>
      <c r="Q83" s="180">
        <f t="shared" si="30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6"/>
        <v>0</v>
      </c>
      <c r="G84" s="77"/>
      <c r="H84" s="77"/>
      <c r="I84" s="174"/>
      <c r="J84" s="191">
        <f t="shared" si="28"/>
        <v>0</v>
      </c>
      <c r="K84" s="77"/>
      <c r="L84" s="33"/>
      <c r="M84" s="33"/>
      <c r="N84" s="33"/>
      <c r="O84" s="33"/>
      <c r="P84" s="33"/>
      <c r="Q84" s="175">
        <f t="shared" si="30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6"/>
        <v>0</v>
      </c>
      <c r="G85" s="78"/>
      <c r="H85" s="78"/>
      <c r="I85" s="179"/>
      <c r="J85" s="193">
        <f t="shared" si="28"/>
        <v>0</v>
      </c>
      <c r="K85" s="78"/>
      <c r="L85" s="54"/>
      <c r="M85" s="54"/>
      <c r="N85" s="54"/>
      <c r="O85" s="54"/>
      <c r="P85" s="54"/>
      <c r="Q85" s="180">
        <f t="shared" si="30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4.7766999999999999</v>
      </c>
      <c r="E86" s="224">
        <v>2.4594</v>
      </c>
      <c r="F86" s="191">
        <f t="shared" si="26"/>
        <v>7.2361000000000004</v>
      </c>
      <c r="G86" s="77">
        <v>1.7983</v>
      </c>
      <c r="H86" s="77">
        <v>52.7682</v>
      </c>
      <c r="I86" s="174"/>
      <c r="J86" s="191">
        <f t="shared" si="28"/>
        <v>52.7682</v>
      </c>
      <c r="K86" s="77">
        <v>0.6411</v>
      </c>
      <c r="L86" s="33">
        <v>3.7946</v>
      </c>
      <c r="M86" s="33">
        <v>1.7999999999999999E-2</v>
      </c>
      <c r="N86" s="33">
        <v>24.8141</v>
      </c>
      <c r="O86" s="33">
        <v>2.8603000000000001</v>
      </c>
      <c r="P86" s="33">
        <v>12.8048</v>
      </c>
      <c r="Q86" s="175">
        <f t="shared" si="30"/>
        <v>106.73549999999999</v>
      </c>
      <c r="R86" s="27"/>
    </row>
    <row r="87" spans="1:18">
      <c r="A87" s="176"/>
      <c r="B87" s="177" t="s">
        <v>63</v>
      </c>
      <c r="C87" s="192" t="s">
        <v>13</v>
      </c>
      <c r="D87" s="209">
        <v>3561.495463473545</v>
      </c>
      <c r="E87" s="225">
        <v>1747.7860000000001</v>
      </c>
      <c r="F87" s="193">
        <f t="shared" si="26"/>
        <v>5309.281463473545</v>
      </c>
      <c r="G87" s="78">
        <v>2774.3679999999999</v>
      </c>
      <c r="H87" s="78">
        <v>21610.058000000001</v>
      </c>
      <c r="I87" s="179"/>
      <c r="J87" s="193">
        <f t="shared" si="28"/>
        <v>21610.058000000001</v>
      </c>
      <c r="K87" s="78">
        <v>289.05599999999998</v>
      </c>
      <c r="L87" s="54">
        <v>2657.018</v>
      </c>
      <c r="M87" s="54">
        <f>6.75*1.08</f>
        <v>7.2900000000000009</v>
      </c>
      <c r="N87" s="54">
        <v>9138.259</v>
      </c>
      <c r="O87" s="54">
        <v>2647.58</v>
      </c>
      <c r="P87" s="54">
        <f>7825.115*1.08</f>
        <v>8451.1242000000002</v>
      </c>
      <c r="Q87" s="180">
        <f t="shared" si="30"/>
        <v>52884.034663473547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f t="shared" ref="D88:D89" si="31">D78+D80+D82+D84+D86</f>
        <v>36.579000000000001</v>
      </c>
      <c r="E88" s="33">
        <f t="shared" ref="E88:E89" si="32">+E78+E80+E82+E84+E86</f>
        <v>23.454499999999999</v>
      </c>
      <c r="F88" s="191">
        <f t="shared" si="26"/>
        <v>60.033500000000004</v>
      </c>
      <c r="G88" s="49">
        <f t="shared" ref="G88:H89" si="33">+G78+G80+G82+G84+G86</f>
        <v>7.7932000000000006</v>
      </c>
      <c r="H88" s="49">
        <f t="shared" si="33"/>
        <v>207.26070000000001</v>
      </c>
      <c r="I88" s="50"/>
      <c r="J88" s="191">
        <f t="shared" si="28"/>
        <v>207.26070000000001</v>
      </c>
      <c r="K88" s="49">
        <f t="shared" ref="K88:K89" si="34">+K78+K80+K82+K84+K86</f>
        <v>7.9733999999999998</v>
      </c>
      <c r="L88" s="33">
        <f>+L78+L80+L82+L84+L86</f>
        <v>9.7060999999999993</v>
      </c>
      <c r="M88" s="33">
        <f t="shared" ref="M88:N89" si="35">+M78+M80+M82+M84+M86</f>
        <v>0.17749999999999999</v>
      </c>
      <c r="N88" s="33">
        <f t="shared" si="35"/>
        <v>79.372479999999996</v>
      </c>
      <c r="O88" s="33">
        <f>+O78+O80+O82+O84+O86</f>
        <v>24.442</v>
      </c>
      <c r="P88" s="33">
        <f t="shared" ref="P88:P89" si="36">+P78+P80+P82+P84+P86</f>
        <v>77.729680000000002</v>
      </c>
      <c r="Q88" s="175">
        <f t="shared" si="30"/>
        <v>474.48856000000001</v>
      </c>
      <c r="R88" s="27"/>
    </row>
    <row r="89" spans="1:18">
      <c r="A89" s="183"/>
      <c r="B89" s="309"/>
      <c r="C89" s="192" t="s">
        <v>13</v>
      </c>
      <c r="D89" s="54">
        <f t="shared" si="31"/>
        <v>25069.521483669563</v>
      </c>
      <c r="E89" s="54">
        <f t="shared" si="32"/>
        <v>15530.919</v>
      </c>
      <c r="F89" s="193">
        <f t="shared" si="26"/>
        <v>40600.440483669561</v>
      </c>
      <c r="G89" s="68">
        <f t="shared" si="33"/>
        <v>7309.6419999999998</v>
      </c>
      <c r="H89" s="68">
        <f t="shared" si="33"/>
        <v>96278.164999999994</v>
      </c>
      <c r="I89" s="63"/>
      <c r="J89" s="193">
        <f t="shared" si="28"/>
        <v>96278.164999999994</v>
      </c>
      <c r="K89" s="68">
        <f t="shared" si="34"/>
        <v>3649.759</v>
      </c>
      <c r="L89" s="54">
        <f>+L79+L81+L83+L85+L87</f>
        <v>6708.5300000000007</v>
      </c>
      <c r="M89" s="54">
        <f t="shared" si="35"/>
        <v>110.64600000000002</v>
      </c>
      <c r="N89" s="54">
        <f t="shared" si="35"/>
        <v>41325.915000000001</v>
      </c>
      <c r="O89" s="54">
        <f>+O79+O81+O83+O85+O87</f>
        <v>14120.414000000001</v>
      </c>
      <c r="P89" s="54">
        <f t="shared" si="36"/>
        <v>39134.222280000002</v>
      </c>
      <c r="Q89" s="180">
        <f t="shared" si="30"/>
        <v>249237.73376366956</v>
      </c>
      <c r="R89" s="27"/>
    </row>
    <row r="90" spans="1:18">
      <c r="A90" s="310" t="s">
        <v>64</v>
      </c>
      <c r="B90" s="311"/>
      <c r="C90" s="32" t="s">
        <v>11</v>
      </c>
      <c r="D90" s="52">
        <v>0.54430000000000001</v>
      </c>
      <c r="E90" s="224">
        <v>3.6181999999999999</v>
      </c>
      <c r="F90" s="191">
        <f t="shared" si="26"/>
        <v>4.1624999999999996</v>
      </c>
      <c r="G90" s="77">
        <v>10.219900000000001</v>
      </c>
      <c r="H90" s="77">
        <v>17.172799999999999</v>
      </c>
      <c r="I90" s="174"/>
      <c r="J90" s="191">
        <f t="shared" si="28"/>
        <v>17.172799999999999</v>
      </c>
      <c r="K90" s="77">
        <v>7.1592000000000002</v>
      </c>
      <c r="L90" s="33">
        <v>11.964499999999999</v>
      </c>
      <c r="M90" s="33"/>
      <c r="N90" s="33">
        <v>0.43490000000000001</v>
      </c>
      <c r="O90" s="33">
        <v>0.16969999999999999</v>
      </c>
      <c r="P90" s="33">
        <v>0.67230000000000001</v>
      </c>
      <c r="Q90" s="175">
        <f t="shared" si="30"/>
        <v>51.955799999999996</v>
      </c>
      <c r="R90" s="27"/>
    </row>
    <row r="91" spans="1:18">
      <c r="A91" s="312"/>
      <c r="B91" s="313"/>
      <c r="C91" s="192" t="s">
        <v>13</v>
      </c>
      <c r="D91" s="209">
        <v>681.43679683791981</v>
      </c>
      <c r="E91" s="225">
        <v>3742.5569999999998</v>
      </c>
      <c r="F91" s="193">
        <f t="shared" si="26"/>
        <v>4423.9937968379199</v>
      </c>
      <c r="G91" s="78">
        <v>10293.754000000001</v>
      </c>
      <c r="H91" s="78">
        <v>17545.563999999998</v>
      </c>
      <c r="I91" s="179"/>
      <c r="J91" s="193">
        <f t="shared" si="28"/>
        <v>17545.563999999998</v>
      </c>
      <c r="K91" s="78">
        <v>6325.9610000000002</v>
      </c>
      <c r="L91" s="54">
        <v>11962.177</v>
      </c>
      <c r="M91" s="54"/>
      <c r="N91" s="54">
        <v>385.88900000000001</v>
      </c>
      <c r="O91" s="54">
        <v>145.572</v>
      </c>
      <c r="P91" s="54">
        <f>682.53*1.08</f>
        <v>737.13240000000008</v>
      </c>
      <c r="Q91" s="180">
        <f t="shared" si="30"/>
        <v>51820.04319683792</v>
      </c>
      <c r="R91" s="27"/>
    </row>
    <row r="92" spans="1:18">
      <c r="A92" s="310" t="s">
        <v>65</v>
      </c>
      <c r="B92" s="311"/>
      <c r="C92" s="32" t="s">
        <v>11</v>
      </c>
      <c r="D92" s="52"/>
      <c r="E92" s="224"/>
      <c r="F92" s="191">
        <f t="shared" si="26"/>
        <v>0</v>
      </c>
      <c r="G92" s="77">
        <v>6.4999999999999997E-3</v>
      </c>
      <c r="H92" s="77"/>
      <c r="I92" s="174"/>
      <c r="J92" s="191">
        <f t="shared" si="28"/>
        <v>0</v>
      </c>
      <c r="K92" s="77">
        <v>15</v>
      </c>
      <c r="L92" s="33">
        <v>0.36199999999999999</v>
      </c>
      <c r="M92" s="33"/>
      <c r="N92" s="33"/>
      <c r="O92" s="33"/>
      <c r="P92" s="33"/>
      <c r="Q92" s="175">
        <f t="shared" si="30"/>
        <v>15.368500000000001</v>
      </c>
      <c r="R92" s="27"/>
    </row>
    <row r="93" spans="1:18">
      <c r="A93" s="312"/>
      <c r="B93" s="313"/>
      <c r="C93" s="192" t="s">
        <v>13</v>
      </c>
      <c r="D93" s="53"/>
      <c r="E93" s="225"/>
      <c r="F93" s="193">
        <f t="shared" si="26"/>
        <v>0</v>
      </c>
      <c r="G93" s="78">
        <v>12.12</v>
      </c>
      <c r="H93" s="78"/>
      <c r="I93" s="179"/>
      <c r="J93" s="193">
        <f t="shared" si="28"/>
        <v>0</v>
      </c>
      <c r="K93" s="78">
        <v>753.3</v>
      </c>
      <c r="L93" s="54">
        <v>97.459000000000003</v>
      </c>
      <c r="M93" s="54"/>
      <c r="N93" s="54"/>
      <c r="O93" s="54"/>
      <c r="P93" s="54"/>
      <c r="Q93" s="180">
        <f t="shared" si="30"/>
        <v>862.87899999999991</v>
      </c>
      <c r="R93" s="27"/>
    </row>
    <row r="94" spans="1:18">
      <c r="A94" s="310" t="s">
        <v>66</v>
      </c>
      <c r="B94" s="311"/>
      <c r="C94" s="32" t="s">
        <v>11</v>
      </c>
      <c r="D94" s="52"/>
      <c r="E94" s="224"/>
      <c r="F94" s="191">
        <f t="shared" si="26"/>
        <v>0</v>
      </c>
      <c r="G94" s="77"/>
      <c r="H94" s="77">
        <v>5.1999999999999998E-3</v>
      </c>
      <c r="I94" s="174"/>
      <c r="J94" s="191">
        <f t="shared" si="28"/>
        <v>5.1999999999999998E-3</v>
      </c>
      <c r="K94" s="77"/>
      <c r="L94" s="33"/>
      <c r="M94" s="33"/>
      <c r="N94" s="33"/>
      <c r="O94" s="33"/>
      <c r="P94" s="33"/>
      <c r="Q94" s="175">
        <f t="shared" si="30"/>
        <v>5.1999999999999998E-3</v>
      </c>
      <c r="R94" s="27"/>
    </row>
    <row r="95" spans="1:18">
      <c r="A95" s="312"/>
      <c r="B95" s="313"/>
      <c r="C95" s="192" t="s">
        <v>13</v>
      </c>
      <c r="D95" s="53"/>
      <c r="E95" s="225"/>
      <c r="F95" s="193">
        <f t="shared" si="26"/>
        <v>0</v>
      </c>
      <c r="G95" s="78"/>
      <c r="H95" s="78">
        <v>6.1989999999999998</v>
      </c>
      <c r="I95" s="179"/>
      <c r="J95" s="193">
        <f t="shared" si="28"/>
        <v>6.1989999999999998</v>
      </c>
      <c r="K95" s="78"/>
      <c r="L95" s="54"/>
      <c r="M95" s="54"/>
      <c r="N95" s="54"/>
      <c r="O95" s="54"/>
      <c r="P95" s="54"/>
      <c r="Q95" s="180">
        <f t="shared" si="30"/>
        <v>6.1989999999999998</v>
      </c>
      <c r="R95" s="27"/>
    </row>
    <row r="96" spans="1:18">
      <c r="A96" s="310" t="s">
        <v>67</v>
      </c>
      <c r="B96" s="311"/>
      <c r="C96" s="32" t="s">
        <v>11</v>
      </c>
      <c r="D96" s="52">
        <v>0.02</v>
      </c>
      <c r="E96" s="224">
        <v>0.48799999999999999</v>
      </c>
      <c r="F96" s="191">
        <f t="shared" si="26"/>
        <v>0.50800000000000001</v>
      </c>
      <c r="G96" s="77">
        <v>3.0000000000000001E-3</v>
      </c>
      <c r="H96" s="77">
        <v>0.9</v>
      </c>
      <c r="I96" s="174"/>
      <c r="J96" s="191">
        <f t="shared" si="28"/>
        <v>0.9</v>
      </c>
      <c r="K96" s="77"/>
      <c r="L96" s="33"/>
      <c r="M96" s="33"/>
      <c r="N96" s="33"/>
      <c r="O96" s="33"/>
      <c r="P96" s="33"/>
      <c r="Q96" s="175">
        <f t="shared" si="30"/>
        <v>1.411</v>
      </c>
      <c r="R96" s="27"/>
    </row>
    <row r="97" spans="1:18">
      <c r="A97" s="312"/>
      <c r="B97" s="313"/>
      <c r="C97" s="192" t="s">
        <v>13</v>
      </c>
      <c r="D97" s="209">
        <v>73.439999659215388</v>
      </c>
      <c r="E97" s="225">
        <v>553.06799999999998</v>
      </c>
      <c r="F97" s="193">
        <f t="shared" si="26"/>
        <v>626.50799965921533</v>
      </c>
      <c r="G97" s="78">
        <v>13.284000000000001</v>
      </c>
      <c r="H97" s="78">
        <v>1509.84</v>
      </c>
      <c r="I97" s="179"/>
      <c r="J97" s="193">
        <f t="shared" si="28"/>
        <v>1509.84</v>
      </c>
      <c r="K97" s="78"/>
      <c r="L97" s="54"/>
      <c r="M97" s="54"/>
      <c r="N97" s="54"/>
      <c r="O97" s="54"/>
      <c r="P97" s="54"/>
      <c r="Q97" s="180">
        <f t="shared" si="30"/>
        <v>2149.6319996592151</v>
      </c>
      <c r="R97" s="27"/>
    </row>
    <row r="98" spans="1:18">
      <c r="A98" s="310" t="s">
        <v>68</v>
      </c>
      <c r="B98" s="311"/>
      <c r="C98" s="32" t="s">
        <v>11</v>
      </c>
      <c r="D98" s="52"/>
      <c r="E98" s="224"/>
      <c r="F98" s="191">
        <f t="shared" si="26"/>
        <v>0</v>
      </c>
      <c r="G98" s="77">
        <v>0</v>
      </c>
      <c r="H98" s="77">
        <v>5.9999999999999995E-4</v>
      </c>
      <c r="I98" s="174"/>
      <c r="J98" s="191">
        <f t="shared" si="28"/>
        <v>5.9999999999999995E-4</v>
      </c>
      <c r="K98" s="77"/>
      <c r="L98" s="33"/>
      <c r="M98" s="33"/>
      <c r="N98" s="33"/>
      <c r="O98" s="33"/>
      <c r="P98" s="33"/>
      <c r="Q98" s="175">
        <f t="shared" si="30"/>
        <v>5.9999999999999995E-4</v>
      </c>
      <c r="R98" s="27"/>
    </row>
    <row r="99" spans="1:18">
      <c r="A99" s="312"/>
      <c r="B99" s="313"/>
      <c r="C99" s="192" t="s">
        <v>13</v>
      </c>
      <c r="D99" s="53"/>
      <c r="E99" s="225"/>
      <c r="F99" s="193">
        <f t="shared" si="26"/>
        <v>0</v>
      </c>
      <c r="G99" s="78">
        <v>2.5920000000000001</v>
      </c>
      <c r="H99" s="78">
        <v>0.64800000000000002</v>
      </c>
      <c r="I99" s="179"/>
      <c r="J99" s="193">
        <f t="shared" si="28"/>
        <v>0.64800000000000002</v>
      </c>
      <c r="K99" s="78"/>
      <c r="L99" s="54"/>
      <c r="M99" s="54"/>
      <c r="N99" s="54"/>
      <c r="O99" s="54"/>
      <c r="P99" s="54"/>
      <c r="Q99" s="180">
        <f t="shared" si="30"/>
        <v>3.24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224"/>
      <c r="F100" s="191">
        <f t="shared" si="26"/>
        <v>0</v>
      </c>
      <c r="G100" s="77">
        <v>1.2E-2</v>
      </c>
      <c r="H100" s="77"/>
      <c r="I100" s="174"/>
      <c r="J100" s="191">
        <f t="shared" si="28"/>
        <v>0</v>
      </c>
      <c r="K100" s="77"/>
      <c r="L100" s="33"/>
      <c r="M100" s="33"/>
      <c r="N100" s="33"/>
      <c r="O100" s="33"/>
      <c r="P100" s="33"/>
      <c r="Q100" s="175">
        <f t="shared" si="30"/>
        <v>1.2E-2</v>
      </c>
      <c r="R100" s="27"/>
    </row>
    <row r="101" spans="1:18">
      <c r="A101" s="312"/>
      <c r="B101" s="313"/>
      <c r="C101" s="192" t="s">
        <v>13</v>
      </c>
      <c r="D101" s="209"/>
      <c r="E101" s="225"/>
      <c r="F101" s="193">
        <f t="shared" si="26"/>
        <v>0</v>
      </c>
      <c r="G101" s="78">
        <v>6.48</v>
      </c>
      <c r="H101" s="78"/>
      <c r="I101" s="179"/>
      <c r="J101" s="193">
        <f t="shared" si="28"/>
        <v>0</v>
      </c>
      <c r="K101" s="78"/>
      <c r="L101" s="54"/>
      <c r="M101" s="54"/>
      <c r="N101" s="54"/>
      <c r="O101" s="54"/>
      <c r="P101" s="54"/>
      <c r="Q101" s="180">
        <f t="shared" si="30"/>
        <v>6.48</v>
      </c>
      <c r="R101" s="27"/>
    </row>
    <row r="102" spans="1:18">
      <c r="A102" s="310" t="s">
        <v>70</v>
      </c>
      <c r="B102" s="311"/>
      <c r="C102" s="32" t="s">
        <v>11</v>
      </c>
      <c r="D102" s="52">
        <v>2.9868999999999999</v>
      </c>
      <c r="E102" s="224">
        <v>355.87950000000001</v>
      </c>
      <c r="F102" s="191">
        <f t="shared" si="26"/>
        <v>358.8664</v>
      </c>
      <c r="G102" s="77">
        <v>95.767799999999994</v>
      </c>
      <c r="H102" s="77">
        <v>1716.6772699999999</v>
      </c>
      <c r="I102" s="174"/>
      <c r="J102" s="191">
        <f t="shared" si="28"/>
        <v>1716.6772699999999</v>
      </c>
      <c r="K102" s="77">
        <v>24.868099999999998</v>
      </c>
      <c r="L102" s="33">
        <v>62.436489999999999</v>
      </c>
      <c r="M102" s="33"/>
      <c r="N102" s="33">
        <v>42.945099999999996</v>
      </c>
      <c r="O102" s="33">
        <v>4.5419</v>
      </c>
      <c r="P102" s="33">
        <v>2.45695</v>
      </c>
      <c r="Q102" s="175">
        <f t="shared" si="30"/>
        <v>2308.5600099999997</v>
      </c>
      <c r="R102" s="27"/>
    </row>
    <row r="103" spans="1:18">
      <c r="A103" s="312"/>
      <c r="B103" s="313"/>
      <c r="C103" s="192" t="s">
        <v>13</v>
      </c>
      <c r="D103" s="209">
        <v>6673.783289031554</v>
      </c>
      <c r="E103" s="225">
        <v>168470.48800000001</v>
      </c>
      <c r="F103" s="193">
        <f t="shared" si="26"/>
        <v>175144.27128903157</v>
      </c>
      <c r="G103" s="78">
        <v>14329.89</v>
      </c>
      <c r="H103" s="78">
        <v>883824.69499999995</v>
      </c>
      <c r="I103" s="179"/>
      <c r="J103" s="193">
        <f t="shared" si="28"/>
        <v>883824.69499999995</v>
      </c>
      <c r="K103" s="78">
        <v>1994.2850000000001</v>
      </c>
      <c r="L103" s="54">
        <v>5308.326</v>
      </c>
      <c r="M103" s="54"/>
      <c r="N103" s="54">
        <v>15333.016</v>
      </c>
      <c r="O103" s="54">
        <v>3409.7840000000001</v>
      </c>
      <c r="P103" s="54">
        <f>905.295*1.08</f>
        <v>977.71860000000004</v>
      </c>
      <c r="Q103" s="180">
        <f t="shared" si="30"/>
        <v>1100321.9858890313</v>
      </c>
      <c r="R103" s="27"/>
    </row>
    <row r="104" spans="1:18">
      <c r="A104" s="314" t="s">
        <v>71</v>
      </c>
      <c r="B104" s="315"/>
      <c r="C104" s="32" t="s">
        <v>11</v>
      </c>
      <c r="D104" s="33">
        <f t="shared" ref="D104:D105" si="37">D9+D11+D23+D29+D37+D39+D41+D43+D45+D47+D49+D51+D53+D59+D76+D88+D90+D92+D94+D96+D98+D100+D102</f>
        <v>763.03449999999998</v>
      </c>
      <c r="E104" s="33">
        <f t="shared" ref="E104:E105" si="38">+E9+E11+E23+E29+E37+E39+E41+E43+E45+E47+E49+E51+E53+E59+E76+E88+E90+E92+E94+E96+E98+E100+E102</f>
        <v>742.00980000000004</v>
      </c>
      <c r="F104" s="191">
        <f t="shared" si="26"/>
        <v>1505.0443</v>
      </c>
      <c r="G104" s="49">
        <f t="shared" ref="G104:H105" si="39">+G9+G11+G23+G29+G37+G39+G41+G43+G45+G47+G49+G51+G53+G59+G76+G88+G90+G92+G94+G96+G98+G100+G102</f>
        <v>12263.2353</v>
      </c>
      <c r="H104" s="49">
        <f t="shared" si="39"/>
        <v>9890.4077699999998</v>
      </c>
      <c r="I104" s="50"/>
      <c r="J104" s="191">
        <f t="shared" si="28"/>
        <v>9890.4077699999998</v>
      </c>
      <c r="K104" s="49">
        <f t="shared" ref="K104:P105" si="40">+K9+K11+K23+K29+K37+K39+K41+K43+K45+K47+K49+K51+K53+K59+K76+K88+K90+K92+K94+K96+K98+K100+K102</f>
        <v>5335.7025000000003</v>
      </c>
      <c r="L104" s="33">
        <f t="shared" si="40"/>
        <v>575.42908999999997</v>
      </c>
      <c r="M104" s="33">
        <f t="shared" si="40"/>
        <v>0.1825</v>
      </c>
      <c r="N104" s="33">
        <f t="shared" si="40"/>
        <v>123.47577999999999</v>
      </c>
      <c r="O104" s="33">
        <f t="shared" si="40"/>
        <v>29.283699999999996</v>
      </c>
      <c r="P104" s="33">
        <f t="shared" si="40"/>
        <v>81.097830000000016</v>
      </c>
      <c r="Q104" s="175">
        <f t="shared" si="30"/>
        <v>29803.858769999999</v>
      </c>
      <c r="R104" s="27"/>
    </row>
    <row r="105" spans="1:18">
      <c r="A105" s="316"/>
      <c r="B105" s="317"/>
      <c r="C105" s="192" t="s">
        <v>13</v>
      </c>
      <c r="D105" s="54">
        <f t="shared" si="37"/>
        <v>300802.9799241799</v>
      </c>
      <c r="E105" s="54">
        <f t="shared" si="38"/>
        <v>299551.68300000002</v>
      </c>
      <c r="F105" s="193">
        <f t="shared" si="26"/>
        <v>600354.66292417992</v>
      </c>
      <c r="G105" s="68">
        <f t="shared" si="39"/>
        <v>3376142.8239999996</v>
      </c>
      <c r="H105" s="68">
        <f t="shared" si="39"/>
        <v>2391305.8940000003</v>
      </c>
      <c r="I105" s="63"/>
      <c r="J105" s="193">
        <f t="shared" si="28"/>
        <v>2391305.8940000003</v>
      </c>
      <c r="K105" s="68">
        <f t="shared" si="40"/>
        <v>2035409.638</v>
      </c>
      <c r="L105" s="54">
        <f t="shared" si="40"/>
        <v>286822.13</v>
      </c>
      <c r="M105" s="54">
        <f t="shared" si="40"/>
        <v>114.42600000000002</v>
      </c>
      <c r="N105" s="54">
        <f t="shared" si="40"/>
        <v>57347.72</v>
      </c>
      <c r="O105" s="54">
        <f t="shared" si="40"/>
        <v>17768.66</v>
      </c>
      <c r="P105" s="54">
        <f t="shared" si="40"/>
        <v>41024.238480000007</v>
      </c>
      <c r="Q105" s="180">
        <f t="shared" si="30"/>
        <v>8806290.1934041828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224"/>
      <c r="F106" s="191">
        <f t="shared" si="26"/>
        <v>0</v>
      </c>
      <c r="G106" s="77"/>
      <c r="H106" s="77">
        <v>0.82079999999999997</v>
      </c>
      <c r="I106" s="174"/>
      <c r="J106" s="191">
        <f t="shared" si="28"/>
        <v>0.82079999999999997</v>
      </c>
      <c r="K106" s="77">
        <v>3.3300000000000003E-2</v>
      </c>
      <c r="L106" s="33"/>
      <c r="M106" s="33"/>
      <c r="N106" s="33"/>
      <c r="O106" s="33">
        <v>0</v>
      </c>
      <c r="P106" s="33"/>
      <c r="Q106" s="175">
        <f t="shared" si="30"/>
        <v>0.85409999999999997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225"/>
      <c r="F107" s="193">
        <f t="shared" si="26"/>
        <v>0</v>
      </c>
      <c r="G107" s="78"/>
      <c r="H107" s="78">
        <v>2610.0320000000002</v>
      </c>
      <c r="I107" s="179"/>
      <c r="J107" s="193">
        <f t="shared" si="28"/>
        <v>2610.0320000000002</v>
      </c>
      <c r="K107" s="78">
        <v>123.4</v>
      </c>
      <c r="L107" s="54"/>
      <c r="M107" s="54"/>
      <c r="N107" s="54"/>
      <c r="O107" s="54">
        <v>1087.7760000000001</v>
      </c>
      <c r="P107" s="54"/>
      <c r="Q107" s="180">
        <f t="shared" si="30"/>
        <v>3821.2080000000005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0.94499999999999995</v>
      </c>
      <c r="E108" s="52">
        <v>0.37709999999999999</v>
      </c>
      <c r="F108" s="191">
        <f t="shared" si="26"/>
        <v>1.3220999999999998</v>
      </c>
      <c r="G108" s="77">
        <v>13.2005</v>
      </c>
      <c r="H108" s="77">
        <v>51.547199999999997</v>
      </c>
      <c r="I108" s="174"/>
      <c r="J108" s="191">
        <f t="shared" si="28"/>
        <v>51.547199999999997</v>
      </c>
      <c r="K108" s="77">
        <v>41.648800000000001</v>
      </c>
      <c r="L108" s="33">
        <v>96.443299999999994</v>
      </c>
      <c r="M108" s="33"/>
      <c r="N108" s="33">
        <v>2.3199999999999998E-2</v>
      </c>
      <c r="O108" s="33">
        <v>1.7982</v>
      </c>
      <c r="P108" s="33">
        <v>3.3403</v>
      </c>
      <c r="Q108" s="175">
        <f t="shared" si="30"/>
        <v>209.32360000000003</v>
      </c>
      <c r="R108" s="27"/>
    </row>
    <row r="109" spans="1:18">
      <c r="A109" s="176" t="s">
        <v>0</v>
      </c>
      <c r="B109" s="307"/>
      <c r="C109" s="192" t="s">
        <v>13</v>
      </c>
      <c r="D109" s="209">
        <v>323.09819850072313</v>
      </c>
      <c r="E109" s="53">
        <v>243.809</v>
      </c>
      <c r="F109" s="193">
        <f t="shared" si="26"/>
        <v>566.9071985007231</v>
      </c>
      <c r="G109" s="78">
        <v>7577.701</v>
      </c>
      <c r="H109" s="78">
        <v>23627.013999999999</v>
      </c>
      <c r="I109" s="179"/>
      <c r="J109" s="193">
        <f t="shared" si="28"/>
        <v>23627.013999999999</v>
      </c>
      <c r="K109" s="78">
        <v>18997.63</v>
      </c>
      <c r="L109" s="54">
        <v>46776.898999999998</v>
      </c>
      <c r="M109" s="54"/>
      <c r="N109" s="54">
        <v>10.718999999999999</v>
      </c>
      <c r="O109" s="54">
        <v>766.28200000000004</v>
      </c>
      <c r="P109" s="54">
        <f>1647*1.08</f>
        <v>1778.7600000000002</v>
      </c>
      <c r="Q109" s="180">
        <f t="shared" si="30"/>
        <v>100101.91219850071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3.6499999999999998E-2</v>
      </c>
      <c r="E110" s="52">
        <v>1.9060999999999999</v>
      </c>
      <c r="F110" s="191">
        <f t="shared" si="26"/>
        <v>1.9425999999999999</v>
      </c>
      <c r="G110" s="77">
        <v>8.1142000000000003</v>
      </c>
      <c r="H110" s="77">
        <v>18.952999999999999</v>
      </c>
      <c r="I110" s="174"/>
      <c r="J110" s="191">
        <f t="shared" si="28"/>
        <v>18.952999999999999</v>
      </c>
      <c r="K110" s="77">
        <v>15.932499999999999</v>
      </c>
      <c r="L110" s="33">
        <v>2.9824000000000002</v>
      </c>
      <c r="M110" s="33"/>
      <c r="N110" s="33">
        <v>4.1300000000000003E-2</v>
      </c>
      <c r="O110" s="33"/>
      <c r="P110" s="33"/>
      <c r="Q110" s="175">
        <f t="shared" si="30"/>
        <v>47.965999999999994</v>
      </c>
      <c r="R110" s="27"/>
    </row>
    <row r="111" spans="1:18">
      <c r="A111" s="176"/>
      <c r="B111" s="307"/>
      <c r="C111" s="192" t="s">
        <v>13</v>
      </c>
      <c r="D111" s="209">
        <v>42.335999803547693</v>
      </c>
      <c r="E111" s="53">
        <v>993.98299999999995</v>
      </c>
      <c r="F111" s="193">
        <f t="shared" si="26"/>
        <v>1036.3189998035477</v>
      </c>
      <c r="G111" s="78">
        <v>2718.768</v>
      </c>
      <c r="H111" s="78">
        <v>3476.3009999999999</v>
      </c>
      <c r="I111" s="179"/>
      <c r="J111" s="193">
        <f t="shared" si="28"/>
        <v>3476.3009999999999</v>
      </c>
      <c r="K111" s="78">
        <v>2017.9480000000001</v>
      </c>
      <c r="L111" s="54">
        <v>736.20699999999999</v>
      </c>
      <c r="M111" s="54"/>
      <c r="N111" s="54">
        <v>11.086</v>
      </c>
      <c r="O111" s="54"/>
      <c r="P111" s="54"/>
      <c r="Q111" s="180">
        <f t="shared" si="30"/>
        <v>9996.6289998035481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0.184</v>
      </c>
      <c r="F112" s="191">
        <f t="shared" si="26"/>
        <v>0.184</v>
      </c>
      <c r="G112" s="77">
        <v>3.4299999999999997E-2</v>
      </c>
      <c r="H112" s="77">
        <v>0.57179999999999997</v>
      </c>
      <c r="I112" s="174"/>
      <c r="J112" s="191">
        <f t="shared" si="28"/>
        <v>0.57179999999999997</v>
      </c>
      <c r="K112" s="77">
        <v>1.06E-2</v>
      </c>
      <c r="L112" s="33">
        <v>3.7199999999999997E-2</v>
      </c>
      <c r="M112" s="33"/>
      <c r="N112" s="33"/>
      <c r="O112" s="33"/>
      <c r="P112" s="33">
        <v>0.10249999999999999</v>
      </c>
      <c r="Q112" s="175">
        <f t="shared" si="30"/>
        <v>0.94040000000000012</v>
      </c>
      <c r="R112" s="27"/>
    </row>
    <row r="113" spans="1:18">
      <c r="A113" s="176"/>
      <c r="B113" s="307"/>
      <c r="C113" s="192" t="s">
        <v>13</v>
      </c>
      <c r="D113" s="209"/>
      <c r="E113" s="53">
        <v>401.95499999999998</v>
      </c>
      <c r="F113" s="193">
        <f t="shared" si="26"/>
        <v>401.95499999999998</v>
      </c>
      <c r="G113" s="78">
        <v>44.408999999999999</v>
      </c>
      <c r="H113" s="78">
        <v>1297.896</v>
      </c>
      <c r="I113" s="179"/>
      <c r="J113" s="193">
        <f t="shared" si="28"/>
        <v>1297.896</v>
      </c>
      <c r="K113" s="78">
        <v>5.5410000000000004</v>
      </c>
      <c r="L113" s="54">
        <v>38.360999999999997</v>
      </c>
      <c r="M113" s="54"/>
      <c r="N113" s="54"/>
      <c r="O113" s="54"/>
      <c r="P113" s="54">
        <f>102.5*1.08</f>
        <v>110.7</v>
      </c>
      <c r="Q113" s="180">
        <f t="shared" si="30"/>
        <v>1898.8620000000001</v>
      </c>
      <c r="R113" s="27"/>
    </row>
    <row r="114" spans="1:18">
      <c r="A114" s="176"/>
      <c r="B114" s="306" t="s">
        <v>78</v>
      </c>
      <c r="C114" s="32" t="s">
        <v>11</v>
      </c>
      <c r="D114" s="52">
        <v>0.37169999999999997</v>
      </c>
      <c r="E114" s="52">
        <v>0.34010000000000001</v>
      </c>
      <c r="F114" s="191">
        <f t="shared" si="26"/>
        <v>0.71179999999999999</v>
      </c>
      <c r="G114" s="77">
        <v>0.27939999999999998</v>
      </c>
      <c r="H114" s="77">
        <v>2.8010000000000002</v>
      </c>
      <c r="I114" s="174"/>
      <c r="J114" s="191">
        <f t="shared" si="28"/>
        <v>2.8010000000000002</v>
      </c>
      <c r="K114" s="77">
        <v>8.7599999999999997E-2</v>
      </c>
      <c r="L114" s="33">
        <v>3.4862000000000002</v>
      </c>
      <c r="M114" s="33">
        <v>0.184</v>
      </c>
      <c r="N114" s="33">
        <v>0.95150000000000001</v>
      </c>
      <c r="O114" s="33"/>
      <c r="P114" s="33">
        <v>7.3804999999999996</v>
      </c>
      <c r="Q114" s="175">
        <f t="shared" si="30"/>
        <v>15.882</v>
      </c>
      <c r="R114" s="27"/>
    </row>
    <row r="115" spans="1:18">
      <c r="A115" s="176"/>
      <c r="B115" s="307"/>
      <c r="C115" s="192" t="s">
        <v>13</v>
      </c>
      <c r="D115" s="209">
        <v>121.26671943728442</v>
      </c>
      <c r="E115" s="53">
        <v>110.328</v>
      </c>
      <c r="F115" s="193">
        <f t="shared" si="26"/>
        <v>231.59471943728443</v>
      </c>
      <c r="G115" s="78">
        <v>191.69300000000001</v>
      </c>
      <c r="H115" s="78">
        <v>3937.8960000000002</v>
      </c>
      <c r="I115" s="179"/>
      <c r="J115" s="193">
        <f t="shared" si="28"/>
        <v>3937.8960000000002</v>
      </c>
      <c r="K115" s="78">
        <v>108.575</v>
      </c>
      <c r="L115" s="54">
        <v>2516.7350000000001</v>
      </c>
      <c r="M115" s="54">
        <f>50.8*1.08</f>
        <v>54.863999999999997</v>
      </c>
      <c r="N115" s="54">
        <v>224.654</v>
      </c>
      <c r="O115" s="54"/>
      <c r="P115" s="54">
        <f>3201.71*1.08</f>
        <v>3457.8468000000003</v>
      </c>
      <c r="Q115" s="180">
        <f t="shared" si="30"/>
        <v>10723.858519437286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6"/>
        <v>0</v>
      </c>
      <c r="G116" s="77"/>
      <c r="H116" s="77"/>
      <c r="I116" s="174"/>
      <c r="J116" s="191">
        <f t="shared" si="28"/>
        <v>0</v>
      </c>
      <c r="K116" s="77">
        <v>1</v>
      </c>
      <c r="L116" s="33"/>
      <c r="M116" s="33"/>
      <c r="N116" s="33"/>
      <c r="O116" s="33"/>
      <c r="P116" s="33"/>
      <c r="Q116" s="175">
        <f t="shared" si="30"/>
        <v>1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6"/>
        <v>0</v>
      </c>
      <c r="G117" s="78"/>
      <c r="H117" s="78"/>
      <c r="I117" s="179"/>
      <c r="J117" s="193">
        <f t="shared" si="28"/>
        <v>0</v>
      </c>
      <c r="K117" s="78">
        <v>572.4</v>
      </c>
      <c r="L117" s="54"/>
      <c r="M117" s="54"/>
      <c r="N117" s="54"/>
      <c r="O117" s="54"/>
      <c r="P117" s="54"/>
      <c r="Q117" s="180">
        <f t="shared" si="30"/>
        <v>572.4</v>
      </c>
      <c r="R117" s="27"/>
    </row>
    <row r="118" spans="1:18">
      <c r="A118" s="176"/>
      <c r="B118" s="306" t="s">
        <v>81</v>
      </c>
      <c r="C118" s="32" t="s">
        <v>11</v>
      </c>
      <c r="D118" s="52">
        <v>1E-3</v>
      </c>
      <c r="E118" s="52">
        <v>9.4999999999999998E-3</v>
      </c>
      <c r="F118" s="191">
        <f t="shared" si="26"/>
        <v>1.0499999999999999E-2</v>
      </c>
      <c r="G118" s="77"/>
      <c r="H118" s="77"/>
      <c r="I118" s="174"/>
      <c r="J118" s="191">
        <f t="shared" si="28"/>
        <v>0</v>
      </c>
      <c r="K118" s="77"/>
      <c r="L118" s="33"/>
      <c r="M118" s="33"/>
      <c r="N118" s="33"/>
      <c r="O118" s="33"/>
      <c r="P118" s="33"/>
      <c r="Q118" s="175">
        <f t="shared" si="30"/>
        <v>1.0499999999999999E-2</v>
      </c>
      <c r="R118" s="27"/>
    </row>
    <row r="119" spans="1:18">
      <c r="A119" s="176"/>
      <c r="B119" s="307"/>
      <c r="C119" s="192" t="s">
        <v>13</v>
      </c>
      <c r="D119" s="209">
        <v>1.0799999949884616</v>
      </c>
      <c r="E119" s="53">
        <v>9.7309999999999999</v>
      </c>
      <c r="F119" s="193">
        <f t="shared" si="26"/>
        <v>10.810999994988462</v>
      </c>
      <c r="G119" s="78"/>
      <c r="H119" s="78"/>
      <c r="I119" s="179"/>
      <c r="J119" s="193">
        <f t="shared" si="28"/>
        <v>0</v>
      </c>
      <c r="K119" s="78"/>
      <c r="L119" s="54"/>
      <c r="M119" s="54"/>
      <c r="N119" s="54"/>
      <c r="O119" s="54"/>
      <c r="P119" s="54"/>
      <c r="Q119" s="180">
        <f t="shared" si="30"/>
        <v>10.810999994988462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1.282</v>
      </c>
      <c r="E120" s="52">
        <v>1.02</v>
      </c>
      <c r="F120" s="191">
        <f t="shared" si="26"/>
        <v>2.302</v>
      </c>
      <c r="G120" s="77"/>
      <c r="H120" s="77"/>
      <c r="I120" s="174"/>
      <c r="J120" s="191">
        <f t="shared" si="28"/>
        <v>0</v>
      </c>
      <c r="K120" s="77"/>
      <c r="L120" s="33"/>
      <c r="M120" s="33"/>
      <c r="N120" s="33"/>
      <c r="O120" s="33"/>
      <c r="P120" s="33"/>
      <c r="Q120" s="175">
        <f t="shared" si="30"/>
        <v>2.302</v>
      </c>
      <c r="R120" s="27"/>
    </row>
    <row r="121" spans="1:18">
      <c r="A121" s="176"/>
      <c r="B121" s="307"/>
      <c r="C121" s="192" t="s">
        <v>13</v>
      </c>
      <c r="D121" s="209">
        <v>758.80799647889307</v>
      </c>
      <c r="E121" s="53">
        <v>440.64</v>
      </c>
      <c r="F121" s="193">
        <f t="shared" si="26"/>
        <v>1199.4479964788929</v>
      </c>
      <c r="G121" s="78"/>
      <c r="H121" s="78"/>
      <c r="I121" s="179"/>
      <c r="J121" s="193">
        <f t="shared" si="28"/>
        <v>0</v>
      </c>
      <c r="K121" s="78"/>
      <c r="L121" s="54"/>
      <c r="M121" s="54"/>
      <c r="N121" s="54"/>
      <c r="O121" s="54"/>
      <c r="P121" s="54"/>
      <c r="Q121" s="180">
        <f t="shared" si="30"/>
        <v>1199.4479964788929</v>
      </c>
      <c r="R121" s="27"/>
    </row>
    <row r="122" spans="1:18">
      <c r="A122" s="176"/>
      <c r="B122" s="306" t="s">
        <v>84</v>
      </c>
      <c r="C122" s="32" t="s">
        <v>11</v>
      </c>
      <c r="D122" s="52">
        <v>5.2804000000000002</v>
      </c>
      <c r="E122" s="52">
        <v>0.55000000000000004</v>
      </c>
      <c r="F122" s="191">
        <f t="shared" si="26"/>
        <v>5.8304</v>
      </c>
      <c r="G122" s="77">
        <v>1.3454999999999999</v>
      </c>
      <c r="H122" s="77">
        <v>5.3788999999999998</v>
      </c>
      <c r="I122" s="174"/>
      <c r="J122" s="191">
        <f t="shared" si="28"/>
        <v>5.3788999999999998</v>
      </c>
      <c r="K122" s="77">
        <v>1.4999999999999999E-2</v>
      </c>
      <c r="L122" s="33">
        <v>3.7570000000000001</v>
      </c>
      <c r="M122" s="33"/>
      <c r="N122" s="33"/>
      <c r="O122" s="33"/>
      <c r="P122" s="33"/>
      <c r="Q122" s="175">
        <f t="shared" si="30"/>
        <v>16.326800000000002</v>
      </c>
      <c r="R122" s="27"/>
    </row>
    <row r="123" spans="1:18">
      <c r="A123" s="176"/>
      <c r="B123" s="307"/>
      <c r="C123" s="192" t="s">
        <v>13</v>
      </c>
      <c r="D123" s="209">
        <v>3728.9375826965606</v>
      </c>
      <c r="E123" s="53">
        <v>475.2</v>
      </c>
      <c r="F123" s="193">
        <f t="shared" si="26"/>
        <v>4204.1375826965605</v>
      </c>
      <c r="G123" s="78">
        <v>1780.5139999999999</v>
      </c>
      <c r="H123" s="78">
        <v>3965.7449999999999</v>
      </c>
      <c r="I123" s="179"/>
      <c r="J123" s="193">
        <f t="shared" si="28"/>
        <v>3965.7449999999999</v>
      </c>
      <c r="K123" s="78">
        <v>9.99</v>
      </c>
      <c r="L123" s="54">
        <v>2299.0940000000001</v>
      </c>
      <c r="M123" s="54"/>
      <c r="N123" s="54"/>
      <c r="O123" s="54"/>
      <c r="P123" s="54"/>
      <c r="Q123" s="180">
        <f t="shared" si="30"/>
        <v>12259.48058269656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2.4346999999999999</v>
      </c>
      <c r="E124" s="52">
        <v>0.33529999999999999</v>
      </c>
      <c r="F124" s="191">
        <f t="shared" si="26"/>
        <v>2.77</v>
      </c>
      <c r="G124" s="77">
        <v>1.7010000000000001</v>
      </c>
      <c r="H124" s="77">
        <v>32.325499999999998</v>
      </c>
      <c r="I124" s="174"/>
      <c r="J124" s="191">
        <f t="shared" si="28"/>
        <v>32.325499999999998</v>
      </c>
      <c r="K124" s="77">
        <v>6.5091999999999999</v>
      </c>
      <c r="L124" s="33">
        <v>88.116299999999995</v>
      </c>
      <c r="M124" s="33"/>
      <c r="N124" s="33"/>
      <c r="O124" s="33"/>
      <c r="P124" s="33">
        <v>1.8089999999999999</v>
      </c>
      <c r="Q124" s="175">
        <f t="shared" si="30"/>
        <v>133.23099999999999</v>
      </c>
      <c r="R124" s="27"/>
    </row>
    <row r="125" spans="1:18">
      <c r="A125" s="27"/>
      <c r="B125" s="307"/>
      <c r="C125" s="192" t="s">
        <v>13</v>
      </c>
      <c r="D125" s="209">
        <v>3078.5021857147854</v>
      </c>
      <c r="E125" s="53">
        <v>162.72900000000001</v>
      </c>
      <c r="F125" s="193">
        <f t="shared" si="26"/>
        <v>3241.2311857147852</v>
      </c>
      <c r="G125" s="78">
        <v>336.47800000000001</v>
      </c>
      <c r="H125" s="78">
        <v>16230.522000000001</v>
      </c>
      <c r="I125" s="179"/>
      <c r="J125" s="193">
        <f t="shared" si="28"/>
        <v>16230.522000000001</v>
      </c>
      <c r="K125" s="78">
        <v>1536.3969999999999</v>
      </c>
      <c r="L125" s="54">
        <v>20132.851999999999</v>
      </c>
      <c r="M125" s="54"/>
      <c r="N125" s="54"/>
      <c r="O125" s="54"/>
      <c r="P125" s="54">
        <f>12204.315*1.08</f>
        <v>13180.660200000002</v>
      </c>
      <c r="Q125" s="180">
        <f t="shared" si="30"/>
        <v>54658.140385714782</v>
      </c>
      <c r="R125" s="27"/>
    </row>
    <row r="126" spans="1:18">
      <c r="A126" s="27"/>
      <c r="B126" s="46" t="s">
        <v>15</v>
      </c>
      <c r="C126" s="32" t="s">
        <v>11</v>
      </c>
      <c r="D126" s="224">
        <v>4.2134</v>
      </c>
      <c r="E126" s="52">
        <v>0.13800000000000001</v>
      </c>
      <c r="F126" s="191">
        <f t="shared" si="26"/>
        <v>4.3513999999999999</v>
      </c>
      <c r="G126" s="77">
        <v>18.599</v>
      </c>
      <c r="H126" s="77">
        <v>16.185099999999998</v>
      </c>
      <c r="I126" s="174"/>
      <c r="J126" s="191">
        <f t="shared" si="28"/>
        <v>16.185099999999998</v>
      </c>
      <c r="K126" s="77">
        <v>0.996</v>
      </c>
      <c r="L126" s="33">
        <v>20.12</v>
      </c>
      <c r="M126" s="33"/>
      <c r="N126" s="33"/>
      <c r="O126" s="33"/>
      <c r="P126" s="33">
        <v>3.9554999999999998</v>
      </c>
      <c r="Q126" s="175">
        <f t="shared" si="30"/>
        <v>64.207000000000008</v>
      </c>
      <c r="R126" s="27"/>
    </row>
    <row r="127" spans="1:18">
      <c r="A127" s="27"/>
      <c r="B127" s="177" t="s">
        <v>86</v>
      </c>
      <c r="C127" s="192" t="s">
        <v>13</v>
      </c>
      <c r="D127" s="223">
        <v>1466.8613931933035</v>
      </c>
      <c r="E127" s="53">
        <v>315.79199999999997</v>
      </c>
      <c r="F127" s="193">
        <f t="shared" si="26"/>
        <v>1782.6533931933034</v>
      </c>
      <c r="G127" s="78">
        <v>4003.5659999999998</v>
      </c>
      <c r="H127" s="78">
        <v>8042.2089999999998</v>
      </c>
      <c r="I127" s="179"/>
      <c r="J127" s="193">
        <f t="shared" si="28"/>
        <v>8042.2089999999998</v>
      </c>
      <c r="K127" s="78">
        <v>112.136</v>
      </c>
      <c r="L127" s="54">
        <v>2583.7179999999998</v>
      </c>
      <c r="M127" s="54"/>
      <c r="N127" s="54"/>
      <c r="O127" s="54"/>
      <c r="P127" s="54">
        <f>5564.25*1.08</f>
        <v>6009.39</v>
      </c>
      <c r="Q127" s="180">
        <f t="shared" si="30"/>
        <v>22533.672393193301</v>
      </c>
      <c r="R127" s="27"/>
    </row>
    <row r="128" spans="1:18">
      <c r="A128" s="27"/>
      <c r="B128" s="308" t="s">
        <v>19</v>
      </c>
      <c r="C128" s="32" t="s">
        <v>11</v>
      </c>
      <c r="D128" s="33">
        <f t="shared" ref="D128:D129" si="41">D106+D108+D110+D112+D114+D116+D118+D120+D122+D124+D126</f>
        <v>14.5647</v>
      </c>
      <c r="E128" s="33">
        <f t="shared" ref="E128:E129" si="42">+E106+E108+E110+E112+E114+E116+E118+E120+E122+E124+E126</f>
        <v>4.8601000000000001</v>
      </c>
      <c r="F128" s="191">
        <f t="shared" si="26"/>
        <v>19.424800000000001</v>
      </c>
      <c r="G128" s="49">
        <f t="shared" ref="G128:H129" si="43">+G106+G108+G110+G112+G114+G116+G118+G120+G122+G124+G126</f>
        <v>43.273900000000005</v>
      </c>
      <c r="H128" s="49">
        <f t="shared" si="43"/>
        <v>128.58330000000001</v>
      </c>
      <c r="I128" s="50"/>
      <c r="J128" s="191">
        <f t="shared" si="28"/>
        <v>128.58330000000001</v>
      </c>
      <c r="K128" s="49">
        <f t="shared" ref="K128:K129" si="44">+K106+K108+K110+K112+K114+K116+K118+K120+K122+K124+K126</f>
        <v>66.23299999999999</v>
      </c>
      <c r="L128" s="33">
        <f>+L106+L108+L110+L112+L114+L116+L118+L120+L122+L124+L126</f>
        <v>214.94239999999999</v>
      </c>
      <c r="M128" s="33">
        <f>+M106+M108+M110+M112+M114+M116+M118+M120+M122+M124+M126</f>
        <v>0.184</v>
      </c>
      <c r="N128" s="33">
        <f t="shared" ref="N128:N129" si="45">+N106+N108+N110+N112+N114+N116+N118+N120+N122+N124+N126</f>
        <v>1.016</v>
      </c>
      <c r="O128" s="33">
        <f>+O106+O108+O110+O112+O114+O116+O118+O120+O122+O124+O126</f>
        <v>1.7982</v>
      </c>
      <c r="P128" s="33">
        <f t="shared" ref="P128:P129" si="46">+P106+P108+P110+P112+P114+P116+P118+P120+P122+P124+P126</f>
        <v>16.587799999999998</v>
      </c>
      <c r="Q128" s="175">
        <f t="shared" si="30"/>
        <v>492.04340000000008</v>
      </c>
      <c r="R128" s="27"/>
    </row>
    <row r="129" spans="1:18">
      <c r="A129" s="183"/>
      <c r="B129" s="309"/>
      <c r="C129" s="192" t="s">
        <v>13</v>
      </c>
      <c r="D129" s="54">
        <f t="shared" si="41"/>
        <v>9520.8900758200853</v>
      </c>
      <c r="E129" s="54">
        <f t="shared" si="42"/>
        <v>3154.1669999999995</v>
      </c>
      <c r="F129" s="193">
        <f t="shared" si="26"/>
        <v>12675.057075820085</v>
      </c>
      <c r="G129" s="68">
        <f t="shared" si="43"/>
        <v>16653.128999999997</v>
      </c>
      <c r="H129" s="68">
        <f t="shared" si="43"/>
        <v>63187.615000000005</v>
      </c>
      <c r="I129" s="63"/>
      <c r="J129" s="193">
        <f t="shared" si="28"/>
        <v>63187.615000000005</v>
      </c>
      <c r="K129" s="68">
        <f t="shared" si="44"/>
        <v>23484.017000000007</v>
      </c>
      <c r="L129" s="54">
        <f>+L107+L109+L111+L113+L115+L117+L119+L121+L123+L125+L127</f>
        <v>75083.86599999998</v>
      </c>
      <c r="M129" s="54">
        <f>+M107+M109+M111+M113+M115+M117+M119+M121+M123+M125+M127</f>
        <v>54.863999999999997</v>
      </c>
      <c r="N129" s="54">
        <f t="shared" si="45"/>
        <v>246.459</v>
      </c>
      <c r="O129" s="54">
        <f>+O107+O109+O111+O113+O115+O117+O119+O121+O123+O125+O127</f>
        <v>1854.058</v>
      </c>
      <c r="P129" s="54">
        <f t="shared" si="46"/>
        <v>24537.357000000004</v>
      </c>
      <c r="Q129" s="180">
        <f t="shared" si="30"/>
        <v>217776.4220758201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6"/>
        <v>0</v>
      </c>
      <c r="G130" s="77"/>
      <c r="H130" s="77"/>
      <c r="I130" s="174"/>
      <c r="J130" s="191">
        <f t="shared" si="28"/>
        <v>0</v>
      </c>
      <c r="K130" s="77"/>
      <c r="L130" s="33"/>
      <c r="M130" s="33"/>
      <c r="N130" s="33"/>
      <c r="O130" s="33"/>
      <c r="P130" s="33"/>
      <c r="Q130" s="175">
        <f t="shared" si="30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6"/>
        <v>0</v>
      </c>
      <c r="G131" s="78"/>
      <c r="H131" s="78"/>
      <c r="I131" s="179"/>
      <c r="J131" s="193">
        <f t="shared" si="28"/>
        <v>0</v>
      </c>
      <c r="K131" s="78"/>
      <c r="L131" s="54"/>
      <c r="M131" s="54"/>
      <c r="N131" s="54"/>
      <c r="O131" s="54"/>
      <c r="P131" s="54"/>
      <c r="Q131" s="180">
        <f t="shared" si="30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26"/>
        <v>0</v>
      </c>
      <c r="G132" s="77">
        <v>0.13</v>
      </c>
      <c r="H132" s="77"/>
      <c r="I132" s="174"/>
      <c r="J132" s="191">
        <f t="shared" si="28"/>
        <v>0</v>
      </c>
      <c r="K132" s="77"/>
      <c r="L132" s="33"/>
      <c r="M132" s="33"/>
      <c r="N132" s="33"/>
      <c r="O132" s="33"/>
      <c r="P132" s="33"/>
      <c r="Q132" s="175">
        <f t="shared" si="30"/>
        <v>0.13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26"/>
        <v>0</v>
      </c>
      <c r="G133" s="78">
        <v>32.130000000000003</v>
      </c>
      <c r="H133" s="78"/>
      <c r="I133" s="179"/>
      <c r="J133" s="193">
        <f t="shared" si="28"/>
        <v>0</v>
      </c>
      <c r="K133" s="78"/>
      <c r="L133" s="54"/>
      <c r="M133" s="54"/>
      <c r="N133" s="54"/>
      <c r="O133" s="54"/>
      <c r="P133" s="54"/>
      <c r="Q133" s="197">
        <f t="shared" si="30"/>
        <v>32.130000000000003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226"/>
      <c r="E134" s="115"/>
      <c r="F134" s="199">
        <f t="shared" ref="F134:F142" si="47">SUM(D134:E134)</f>
        <v>0</v>
      </c>
      <c r="G134" s="139"/>
      <c r="H134" s="139"/>
      <c r="I134" s="200"/>
      <c r="J134" s="199">
        <f t="shared" ref="J134:J142" si="48">SUM(H134:I134)</f>
        <v>0</v>
      </c>
      <c r="K134" s="139"/>
      <c r="L134" s="93"/>
      <c r="M134" s="93"/>
      <c r="N134" s="93"/>
      <c r="O134" s="93"/>
      <c r="P134" s="93"/>
      <c r="Q134" s="175">
        <f t="shared" si="30"/>
        <v>0</v>
      </c>
      <c r="R134" s="27"/>
    </row>
    <row r="135" spans="1:18">
      <c r="A135" s="176"/>
      <c r="B135" s="46" t="s">
        <v>91</v>
      </c>
      <c r="C135" s="32" t="s">
        <v>92</v>
      </c>
      <c r="D135" s="224"/>
      <c r="E135" s="52"/>
      <c r="F135" s="201">
        <f t="shared" si="47"/>
        <v>0</v>
      </c>
      <c r="G135" s="77"/>
      <c r="H135" s="77"/>
      <c r="I135" s="174"/>
      <c r="J135" s="201">
        <f t="shared" si="48"/>
        <v>0</v>
      </c>
      <c r="K135" s="77"/>
      <c r="L135" s="33"/>
      <c r="M135" s="49"/>
      <c r="N135" s="33"/>
      <c r="O135" s="33"/>
      <c r="P135" s="161"/>
      <c r="Q135" s="175">
        <f t="shared" si="30"/>
        <v>0</v>
      </c>
      <c r="R135" s="27"/>
    </row>
    <row r="136" spans="1:18">
      <c r="A136" s="176" t="s">
        <v>18</v>
      </c>
      <c r="B136" s="54"/>
      <c r="C136" s="192" t="s">
        <v>13</v>
      </c>
      <c r="D136" s="223"/>
      <c r="E136" s="53"/>
      <c r="F136" s="202">
        <f t="shared" si="47"/>
        <v>0</v>
      </c>
      <c r="G136" s="78"/>
      <c r="H136" s="103"/>
      <c r="I136" s="179"/>
      <c r="J136" s="202">
        <f t="shared" si="48"/>
        <v>0</v>
      </c>
      <c r="K136" s="103"/>
      <c r="L136" s="54"/>
      <c r="M136" s="92"/>
      <c r="N136" s="54"/>
      <c r="O136" s="54"/>
      <c r="P136" s="54"/>
      <c r="Q136" s="197">
        <f t="shared" si="30"/>
        <v>0</v>
      </c>
      <c r="R136" s="27"/>
    </row>
    <row r="137" spans="1:18">
      <c r="A137" s="27"/>
      <c r="B137" s="212" t="s">
        <v>0</v>
      </c>
      <c r="C137" s="29" t="s">
        <v>11</v>
      </c>
      <c r="D137" s="182"/>
      <c r="E137" s="33"/>
      <c r="F137" s="199">
        <f t="shared" si="47"/>
        <v>0</v>
      </c>
      <c r="G137" s="49">
        <f>G130+G132+G134</f>
        <v>0.13</v>
      </c>
      <c r="H137" s="49"/>
      <c r="I137" s="47"/>
      <c r="J137" s="199">
        <f t="shared" si="48"/>
        <v>0</v>
      </c>
      <c r="K137" s="182"/>
      <c r="L137" s="33"/>
      <c r="M137" s="97"/>
      <c r="N137" s="160"/>
      <c r="O137" s="93"/>
      <c r="P137" s="93"/>
      <c r="Q137" s="175">
        <f t="shared" si="30"/>
        <v>0.13</v>
      </c>
      <c r="R137" s="27"/>
    </row>
    <row r="138" spans="1:18">
      <c r="A138" s="27"/>
      <c r="B138" s="213" t="s">
        <v>19</v>
      </c>
      <c r="C138" s="32" t="s">
        <v>92</v>
      </c>
      <c r="D138" s="50"/>
      <c r="E138" s="33"/>
      <c r="F138" s="201">
        <f t="shared" si="47"/>
        <v>0</v>
      </c>
      <c r="G138" s="98"/>
      <c r="H138" s="49"/>
      <c r="I138" s="50"/>
      <c r="J138" s="201">
        <f t="shared" si="48"/>
        <v>0</v>
      </c>
      <c r="K138" s="49"/>
      <c r="L138" s="33"/>
      <c r="M138" s="69"/>
      <c r="N138" s="69"/>
      <c r="O138" s="33"/>
      <c r="P138" s="33"/>
      <c r="Q138" s="175">
        <f t="shared" si="30"/>
        <v>0</v>
      </c>
      <c r="R138" s="27"/>
    </row>
    <row r="139" spans="1:18">
      <c r="A139" s="183"/>
      <c r="B139" s="54"/>
      <c r="C139" s="192" t="s">
        <v>13</v>
      </c>
      <c r="D139" s="63"/>
      <c r="E139" s="54"/>
      <c r="F139" s="202">
        <f t="shared" si="47"/>
        <v>0</v>
      </c>
      <c r="G139" s="68">
        <f>G131+G133+G136</f>
        <v>32.130000000000003</v>
      </c>
      <c r="H139" s="68"/>
      <c r="I139" s="63"/>
      <c r="J139" s="202">
        <f t="shared" si="48"/>
        <v>0</v>
      </c>
      <c r="K139" s="59"/>
      <c r="L139" s="54"/>
      <c r="M139" s="70"/>
      <c r="N139" s="70"/>
      <c r="O139" s="54"/>
      <c r="P139" s="54"/>
      <c r="Q139" s="197">
        <f t="shared" si="30"/>
        <v>32.130000000000003</v>
      </c>
      <c r="R139" s="27"/>
    </row>
    <row r="140" spans="1:18">
      <c r="A140" s="27"/>
      <c r="B140" s="28" t="s">
        <v>0</v>
      </c>
      <c r="C140" s="29" t="s">
        <v>11</v>
      </c>
      <c r="D140" s="125">
        <f>D137+D128+D104</f>
        <v>777.5992</v>
      </c>
      <c r="E140" s="127">
        <f>E137+E128+E104</f>
        <v>746.86990000000003</v>
      </c>
      <c r="F140" s="199">
        <f t="shared" si="47"/>
        <v>1524.4691</v>
      </c>
      <c r="G140" s="147">
        <f t="shared" ref="G140" si="49">G137+G128+G104</f>
        <v>12306.6392</v>
      </c>
      <c r="H140" s="152">
        <f>H137+H128+H104</f>
        <v>10018.99107</v>
      </c>
      <c r="I140" s="57"/>
      <c r="J140" s="199">
        <f t="shared" si="48"/>
        <v>10018.99107</v>
      </c>
      <c r="K140" s="155">
        <f t="shared" ref="K140:P140" si="50">K137+K128+K104</f>
        <v>5401.9355000000005</v>
      </c>
      <c r="L140" s="93">
        <f t="shared" si="50"/>
        <v>790.37148999999999</v>
      </c>
      <c r="M140" s="97">
        <f t="shared" si="50"/>
        <v>0.36649999999999999</v>
      </c>
      <c r="N140" s="97">
        <f t="shared" si="50"/>
        <v>124.49177999999999</v>
      </c>
      <c r="O140" s="93">
        <f t="shared" si="50"/>
        <v>31.081899999999997</v>
      </c>
      <c r="P140" s="93">
        <f t="shared" si="50"/>
        <v>97.685630000000018</v>
      </c>
      <c r="Q140" s="175">
        <f t="shared" si="30"/>
        <v>30296.032170000002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47"/>
        <v>0</v>
      </c>
      <c r="G141" s="148"/>
      <c r="H141" s="144"/>
      <c r="I141" s="206"/>
      <c r="J141" s="201">
        <f t="shared" si="48"/>
        <v>0</v>
      </c>
      <c r="K141" s="148"/>
      <c r="L141" s="33"/>
      <c r="M141" s="69"/>
      <c r="N141" s="69"/>
      <c r="O141" s="33"/>
      <c r="P141" s="33"/>
      <c r="Q141" s="175">
        <f t="shared" ref="Q141:Q142" si="51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>D139+D129+D105</f>
        <v>310323.87</v>
      </c>
      <c r="E142" s="118">
        <f>E139+E129+E105</f>
        <v>302705.85000000003</v>
      </c>
      <c r="F142" s="207">
        <f t="shared" si="47"/>
        <v>613029.72</v>
      </c>
      <c r="G142" s="149">
        <f t="shared" ref="G142" si="52">G139+G129+G105</f>
        <v>3392828.0829999996</v>
      </c>
      <c r="H142" s="154">
        <f>H139+H129+H105</f>
        <v>2454493.5090000005</v>
      </c>
      <c r="I142" s="58"/>
      <c r="J142" s="207">
        <f t="shared" si="48"/>
        <v>2454493.5090000005</v>
      </c>
      <c r="K142" s="149">
        <f t="shared" ref="K142:P142" si="53">K139+K129+K105</f>
        <v>2058893.655</v>
      </c>
      <c r="L142" s="37">
        <f t="shared" si="53"/>
        <v>361905.99599999998</v>
      </c>
      <c r="M142" s="71">
        <f t="shared" si="53"/>
        <v>169.29000000000002</v>
      </c>
      <c r="N142" s="71">
        <f t="shared" si="53"/>
        <v>57594.179000000004</v>
      </c>
      <c r="O142" s="37">
        <f t="shared" si="53"/>
        <v>19622.718000000001</v>
      </c>
      <c r="P142" s="37">
        <f t="shared" si="53"/>
        <v>65561.595480000018</v>
      </c>
      <c r="Q142" s="187">
        <f t="shared" si="51"/>
        <v>9024098.7454799991</v>
      </c>
      <c r="R142" s="27"/>
    </row>
    <row r="143" spans="1:18">
      <c r="Q143" s="208" t="s">
        <v>94</v>
      </c>
    </row>
    <row r="144" spans="1:18">
      <c r="P144" s="47"/>
    </row>
    <row r="146" spans="13:13">
      <c r="M146" s="47"/>
    </row>
    <row r="147" spans="13:13">
      <c r="M147" s="47"/>
    </row>
    <row r="148" spans="13:13">
      <c r="M148" s="47"/>
    </row>
    <row r="149" spans="13:13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8"/>
  <sheetViews>
    <sheetView zoomScale="40" zoomScaleNormal="40" workbookViewId="0">
      <selection activeCell="N14" sqref="N14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hidden="1" customWidth="1"/>
    <col min="9" max="9" width="19.625" style="67" hidden="1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109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1.7999999999999999E-2</v>
      </c>
      <c r="H5" s="77">
        <v>100.23</v>
      </c>
      <c r="I5" s="174"/>
      <c r="J5" s="173">
        <f>SUM(H5:I5)</f>
        <v>100.23</v>
      </c>
      <c r="K5" s="77">
        <v>0.1065</v>
      </c>
      <c r="L5" s="33"/>
      <c r="M5" s="33"/>
      <c r="N5" s="33"/>
      <c r="O5" s="33"/>
      <c r="P5" s="33"/>
      <c r="Q5" s="175">
        <f>SUM(F5:G5,J5:P5)</f>
        <v>100.3545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4.8470000000000004</v>
      </c>
      <c r="H6" s="78">
        <v>4489.8549999999996</v>
      </c>
      <c r="I6" s="179"/>
      <c r="J6" s="178">
        <f>SUM(H6:I6)</f>
        <v>4489.8549999999996</v>
      </c>
      <c r="K6" s="78">
        <v>6.8609999999999998</v>
      </c>
      <c r="L6" s="54"/>
      <c r="M6" s="54"/>
      <c r="N6" s="54"/>
      <c r="O6" s="54"/>
      <c r="P6" s="54"/>
      <c r="Q6" s="180">
        <f>SUM(F6:G6,J6:P6)</f>
        <v>4501.5629999999992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2.4E-2</v>
      </c>
      <c r="F7" s="181">
        <f t="shared" ref="F7:F68" si="0">SUM(D7:E7)</f>
        <v>2.4E-2</v>
      </c>
      <c r="G7" s="77"/>
      <c r="H7" s="77">
        <v>259.81</v>
      </c>
      <c r="I7" s="174"/>
      <c r="J7" s="181">
        <f t="shared" ref="J7:J68" si="1">SUM(H7:I7)</f>
        <v>259.81</v>
      </c>
      <c r="K7" s="77">
        <v>28.117999999999999</v>
      </c>
      <c r="L7" s="33"/>
      <c r="M7" s="33"/>
      <c r="N7" s="33"/>
      <c r="O7" s="33"/>
      <c r="P7" s="33"/>
      <c r="Q7" s="175">
        <f t="shared" ref="Q7:Q68" si="2">SUM(F7:G7,J7:P7)</f>
        <v>287.952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16.416</v>
      </c>
      <c r="F8" s="178">
        <f t="shared" si="0"/>
        <v>16.416</v>
      </c>
      <c r="G8" s="78"/>
      <c r="H8" s="78">
        <v>10086.352000000001</v>
      </c>
      <c r="I8" s="179"/>
      <c r="J8" s="178">
        <f t="shared" si="1"/>
        <v>10086.352000000001</v>
      </c>
      <c r="K8" s="103">
        <v>1497.8720000000001</v>
      </c>
      <c r="L8" s="54"/>
      <c r="M8" s="54"/>
      <c r="N8" s="54"/>
      <c r="O8" s="54"/>
      <c r="P8" s="54"/>
      <c r="Q8" s="180">
        <f t="shared" si="2"/>
        <v>11600.64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f t="shared" ref="E9:E10" si="3">+E5+E7</f>
        <v>2.4E-2</v>
      </c>
      <c r="F9" s="181">
        <f>SUM(D9:E9)</f>
        <v>2.4E-2</v>
      </c>
      <c r="G9" s="49">
        <f t="shared" ref="G9:G10" si="4">+G5+G7</f>
        <v>1.7999999999999999E-2</v>
      </c>
      <c r="H9" s="49">
        <f>+H5+H7</f>
        <v>360.04</v>
      </c>
      <c r="I9" s="50"/>
      <c r="J9" s="181">
        <f>SUM(H9:I9)</f>
        <v>360.04</v>
      </c>
      <c r="K9" s="49">
        <f t="shared" ref="K9:K10" si="5">+K5+K7</f>
        <v>28.224499999999999</v>
      </c>
      <c r="L9" s="33"/>
      <c r="M9" s="33"/>
      <c r="N9" s="33"/>
      <c r="O9" s="33"/>
      <c r="P9" s="33"/>
      <c r="Q9" s="175">
        <f t="shared" si="2"/>
        <v>388.30649999999997</v>
      </c>
      <c r="R9" s="47"/>
    </row>
    <row r="10" spans="1:18">
      <c r="A10" s="183"/>
      <c r="B10" s="309"/>
      <c r="C10" s="177" t="s">
        <v>13</v>
      </c>
      <c r="D10" s="54"/>
      <c r="E10" s="54">
        <f t="shared" si="3"/>
        <v>16.416</v>
      </c>
      <c r="F10" s="178">
        <f t="shared" si="0"/>
        <v>16.416</v>
      </c>
      <c r="G10" s="68">
        <f t="shared" si="4"/>
        <v>4.8470000000000004</v>
      </c>
      <c r="H10" s="68">
        <f>+H6+H8</f>
        <v>14576.207</v>
      </c>
      <c r="I10" s="63"/>
      <c r="J10" s="178">
        <f t="shared" si="1"/>
        <v>14576.207</v>
      </c>
      <c r="K10" s="68">
        <f t="shared" si="5"/>
        <v>1504.7330000000002</v>
      </c>
      <c r="L10" s="54"/>
      <c r="M10" s="54"/>
      <c r="N10" s="54"/>
      <c r="O10" s="54"/>
      <c r="P10" s="54"/>
      <c r="Q10" s="180">
        <f t="shared" si="2"/>
        <v>16102.203000000001</v>
      </c>
      <c r="R10" s="47"/>
    </row>
    <row r="11" spans="1:18">
      <c r="A11" s="310" t="s">
        <v>20</v>
      </c>
      <c r="B11" s="311"/>
      <c r="C11" s="48" t="s">
        <v>11</v>
      </c>
      <c r="D11" s="52">
        <v>204.28890000000001</v>
      </c>
      <c r="E11" s="52">
        <v>0.68810000000000004</v>
      </c>
      <c r="F11" s="181">
        <f t="shared" si="0"/>
        <v>204.977</v>
      </c>
      <c r="G11" s="77">
        <v>4421.9706999999999</v>
      </c>
      <c r="H11" s="77">
        <v>4150.74</v>
      </c>
      <c r="I11" s="174"/>
      <c r="J11" s="181">
        <f t="shared" si="1"/>
        <v>4150.74</v>
      </c>
      <c r="K11" s="77">
        <v>961.53070000000002</v>
      </c>
      <c r="L11" s="33">
        <v>0.35320000000000001</v>
      </c>
      <c r="M11" s="33"/>
      <c r="N11" s="33"/>
      <c r="O11" s="33"/>
      <c r="P11" s="33"/>
      <c r="Q11" s="175">
        <f t="shared" si="2"/>
        <v>9739.5715999999975</v>
      </c>
      <c r="R11" s="47"/>
    </row>
    <row r="12" spans="1:18">
      <c r="A12" s="312"/>
      <c r="B12" s="313"/>
      <c r="C12" s="177" t="s">
        <v>13</v>
      </c>
      <c r="D12" s="53">
        <v>60857.628467619921</v>
      </c>
      <c r="E12" s="53">
        <v>432.06900000000002</v>
      </c>
      <c r="F12" s="178">
        <f t="shared" si="0"/>
        <v>61289.697467619924</v>
      </c>
      <c r="G12" s="78">
        <v>1676051.94</v>
      </c>
      <c r="H12" s="78">
        <v>730486.28500000003</v>
      </c>
      <c r="I12" s="179"/>
      <c r="J12" s="178">
        <f t="shared" si="1"/>
        <v>730486.28500000003</v>
      </c>
      <c r="K12" s="78">
        <v>182441.53</v>
      </c>
      <c r="L12" s="54">
        <v>209.07</v>
      </c>
      <c r="M12" s="54"/>
      <c r="N12" s="54"/>
      <c r="O12" s="54"/>
      <c r="P12" s="54"/>
      <c r="Q12" s="180">
        <f t="shared" si="2"/>
        <v>2650478.5224676197</v>
      </c>
      <c r="R12" s="47"/>
    </row>
    <row r="13" spans="1:18">
      <c r="A13" s="27"/>
      <c r="B13" s="306" t="s">
        <v>21</v>
      </c>
      <c r="C13" s="48" t="s">
        <v>11</v>
      </c>
      <c r="D13" s="52">
        <v>45.493000000000002</v>
      </c>
      <c r="E13" s="52">
        <v>7.2493999999999996</v>
      </c>
      <c r="F13" s="181">
        <f t="shared" si="0"/>
        <v>52.742400000000004</v>
      </c>
      <c r="G13" s="77">
        <v>7.5659999999999998</v>
      </c>
      <c r="H13" s="77">
        <v>0.41399999999999998</v>
      </c>
      <c r="I13" s="174"/>
      <c r="J13" s="181">
        <f t="shared" si="1"/>
        <v>0.41399999999999998</v>
      </c>
      <c r="K13" s="77">
        <v>0.20599999999999999</v>
      </c>
      <c r="L13" s="33">
        <v>0.15179999999999999</v>
      </c>
      <c r="M13" s="33"/>
      <c r="N13" s="33"/>
      <c r="O13" s="33"/>
      <c r="P13" s="33"/>
      <c r="Q13" s="175">
        <f t="shared" si="2"/>
        <v>61.080200000000012</v>
      </c>
      <c r="R13" s="47"/>
    </row>
    <row r="14" spans="1:18">
      <c r="A14" s="172" t="s">
        <v>0</v>
      </c>
      <c r="B14" s="307"/>
      <c r="C14" s="177" t="s">
        <v>13</v>
      </c>
      <c r="D14" s="53">
        <v>85406.231066978304</v>
      </c>
      <c r="E14" s="53">
        <v>22299.938999999998</v>
      </c>
      <c r="F14" s="178">
        <f t="shared" si="0"/>
        <v>107706.1700669783</v>
      </c>
      <c r="G14" s="78">
        <v>18171.503000000001</v>
      </c>
      <c r="H14" s="78">
        <v>1388.059</v>
      </c>
      <c r="I14" s="179"/>
      <c r="J14" s="178">
        <f t="shared" si="1"/>
        <v>1388.059</v>
      </c>
      <c r="K14" s="78">
        <v>757.94899999999996</v>
      </c>
      <c r="L14" s="54">
        <v>554.19100000000003</v>
      </c>
      <c r="M14" s="54"/>
      <c r="N14" s="54"/>
      <c r="O14" s="54"/>
      <c r="P14" s="54"/>
      <c r="Q14" s="180">
        <f t="shared" si="2"/>
        <v>128577.87206697829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1.8220000000000001</v>
      </c>
      <c r="E15" s="52"/>
      <c r="F15" s="181">
        <f t="shared" si="0"/>
        <v>1.8220000000000001</v>
      </c>
      <c r="G15" s="77">
        <v>1.91</v>
      </c>
      <c r="H15" s="77">
        <v>0.45600000000000002</v>
      </c>
      <c r="I15" s="174"/>
      <c r="J15" s="181">
        <f t="shared" si="1"/>
        <v>0.45600000000000002</v>
      </c>
      <c r="K15" s="77">
        <v>0.39789999999999998</v>
      </c>
      <c r="L15" s="33">
        <v>4.2200000000000001E-2</v>
      </c>
      <c r="M15" s="33"/>
      <c r="N15" s="33"/>
      <c r="O15" s="33"/>
      <c r="P15" s="33"/>
      <c r="Q15" s="175">
        <f t="shared" si="2"/>
        <v>4.6281000000000008</v>
      </c>
      <c r="R15" s="47"/>
    </row>
    <row r="16" spans="1:18">
      <c r="A16" s="176" t="s">
        <v>0</v>
      </c>
      <c r="B16" s="307"/>
      <c r="C16" s="177" t="s">
        <v>13</v>
      </c>
      <c r="D16" s="53">
        <v>501.85547099181264</v>
      </c>
      <c r="E16" s="53"/>
      <c r="F16" s="178">
        <f t="shared" si="0"/>
        <v>501.85547099181264</v>
      </c>
      <c r="G16" s="78">
        <v>2129.1529999999998</v>
      </c>
      <c r="H16" s="78">
        <v>880.55600000000004</v>
      </c>
      <c r="I16" s="179"/>
      <c r="J16" s="178">
        <f t="shared" si="1"/>
        <v>880.55600000000004</v>
      </c>
      <c r="K16" s="78">
        <v>783.12699999999995</v>
      </c>
      <c r="L16" s="54">
        <v>49.97</v>
      </c>
      <c r="M16" s="54"/>
      <c r="N16" s="54"/>
      <c r="O16" s="54"/>
      <c r="P16" s="54"/>
      <c r="Q16" s="180">
        <f t="shared" si="2"/>
        <v>4344.6614709918131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41.237200000000001</v>
      </c>
      <c r="E17" s="52">
        <v>44.309800000000003</v>
      </c>
      <c r="F17" s="181">
        <f t="shared" si="0"/>
        <v>85.546999999999997</v>
      </c>
      <c r="G17" s="77">
        <v>118.1568</v>
      </c>
      <c r="H17" s="77">
        <v>221.13399999999999</v>
      </c>
      <c r="I17" s="174"/>
      <c r="J17" s="181">
        <f t="shared" si="1"/>
        <v>221.13399999999999</v>
      </c>
      <c r="K17" s="77">
        <v>28.535</v>
      </c>
      <c r="L17" s="33">
        <v>8.8249999999999995E-2</v>
      </c>
      <c r="M17" s="33"/>
      <c r="N17" s="33"/>
      <c r="O17" s="33"/>
      <c r="P17" s="33"/>
      <c r="Q17" s="175">
        <f t="shared" si="2"/>
        <v>453.46105000000006</v>
      </c>
      <c r="R17" s="47"/>
    </row>
    <row r="18" spans="1:18">
      <c r="A18" s="176"/>
      <c r="B18" s="307"/>
      <c r="C18" s="177" t="s">
        <v>13</v>
      </c>
      <c r="D18" s="53">
        <v>55252.214728235784</v>
      </c>
      <c r="E18" s="53">
        <v>65798.705000000002</v>
      </c>
      <c r="F18" s="178">
        <f t="shared" si="0"/>
        <v>121050.91972823578</v>
      </c>
      <c r="G18" s="78">
        <v>87472.475999999995</v>
      </c>
      <c r="H18" s="78">
        <v>48868.72</v>
      </c>
      <c r="I18" s="179"/>
      <c r="J18" s="178">
        <f t="shared" si="1"/>
        <v>48868.72</v>
      </c>
      <c r="K18" s="78">
        <v>8258.7459999999992</v>
      </c>
      <c r="L18" s="54">
        <v>130.68</v>
      </c>
      <c r="M18" s="54"/>
      <c r="N18" s="54"/>
      <c r="O18" s="54"/>
      <c r="P18" s="54"/>
      <c r="Q18" s="180">
        <f t="shared" si="2"/>
        <v>265781.54172823578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4.4560000000000004</v>
      </c>
      <c r="E19" s="52">
        <v>7.3272000000000004</v>
      </c>
      <c r="F19" s="181">
        <f t="shared" si="0"/>
        <v>11.783200000000001</v>
      </c>
      <c r="G19" s="77">
        <v>60.352200000000003</v>
      </c>
      <c r="H19" s="77">
        <v>71.513999999999996</v>
      </c>
      <c r="I19" s="174"/>
      <c r="J19" s="181">
        <f t="shared" si="1"/>
        <v>71.513999999999996</v>
      </c>
      <c r="K19" s="77">
        <v>6.6820000000000004</v>
      </c>
      <c r="L19" s="33"/>
      <c r="M19" s="33"/>
      <c r="N19" s="33"/>
      <c r="O19" s="33"/>
      <c r="P19" s="33"/>
      <c r="Q19" s="175">
        <f t="shared" si="2"/>
        <v>150.3314</v>
      </c>
      <c r="R19" s="47"/>
    </row>
    <row r="20" spans="1:18">
      <c r="A20" s="176"/>
      <c r="B20" s="177" t="s">
        <v>28</v>
      </c>
      <c r="C20" s="177" t="s">
        <v>13</v>
      </c>
      <c r="D20" s="53">
        <v>2751.7017106076032</v>
      </c>
      <c r="E20" s="53">
        <v>6032.8810000000003</v>
      </c>
      <c r="F20" s="178">
        <f t="shared" si="0"/>
        <v>8784.5827106076031</v>
      </c>
      <c r="G20" s="78">
        <v>46699.381999999998</v>
      </c>
      <c r="H20" s="78">
        <v>20507.731</v>
      </c>
      <c r="I20" s="179"/>
      <c r="J20" s="178">
        <f t="shared" si="1"/>
        <v>20507.731</v>
      </c>
      <c r="K20" s="78">
        <v>1581.867</v>
      </c>
      <c r="L20" s="54"/>
      <c r="M20" s="54"/>
      <c r="N20" s="54"/>
      <c r="O20" s="54"/>
      <c r="P20" s="54"/>
      <c r="Q20" s="180">
        <f t="shared" si="2"/>
        <v>77573.562710607599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26.437000000000001</v>
      </c>
      <c r="E21" s="52">
        <v>74.364199999999997</v>
      </c>
      <c r="F21" s="181">
        <f t="shared" si="0"/>
        <v>100.80119999999999</v>
      </c>
      <c r="G21" s="77">
        <v>7.7371999999999996</v>
      </c>
      <c r="H21" s="77">
        <v>3.883</v>
      </c>
      <c r="I21" s="174"/>
      <c r="J21" s="181">
        <f t="shared" si="1"/>
        <v>3.883</v>
      </c>
      <c r="K21" s="77">
        <v>0.42599999999999999</v>
      </c>
      <c r="L21" s="33"/>
      <c r="M21" s="33"/>
      <c r="N21" s="33"/>
      <c r="O21" s="33"/>
      <c r="P21" s="33"/>
      <c r="Q21" s="175">
        <f t="shared" si="2"/>
        <v>112.84739999999999</v>
      </c>
      <c r="R21" s="47"/>
    </row>
    <row r="22" spans="1:18">
      <c r="A22" s="27"/>
      <c r="B22" s="307"/>
      <c r="C22" s="177" t="s">
        <v>13</v>
      </c>
      <c r="D22" s="53">
        <v>9450.9739903572463</v>
      </c>
      <c r="E22" s="53">
        <v>31532.33</v>
      </c>
      <c r="F22" s="178">
        <f t="shared" si="0"/>
        <v>40983.30399035725</v>
      </c>
      <c r="G22" s="78">
        <v>2528.982</v>
      </c>
      <c r="H22" s="78">
        <v>1043.55</v>
      </c>
      <c r="I22" s="179"/>
      <c r="J22" s="178">
        <f t="shared" si="1"/>
        <v>1043.55</v>
      </c>
      <c r="K22" s="78">
        <v>147.226</v>
      </c>
      <c r="L22" s="54"/>
      <c r="M22" s="54"/>
      <c r="N22" s="54"/>
      <c r="O22" s="54"/>
      <c r="P22" s="54"/>
      <c r="Q22" s="180">
        <f t="shared" si="2"/>
        <v>44703.061990357259</v>
      </c>
      <c r="R22" s="47"/>
    </row>
    <row r="23" spans="1:18">
      <c r="A23" s="27"/>
      <c r="B23" s="308" t="s">
        <v>19</v>
      </c>
      <c r="C23" s="48" t="s">
        <v>11</v>
      </c>
      <c r="D23" s="33">
        <f t="shared" ref="D23:D24" si="6">D13+D15+D17+D19+D21</f>
        <v>119.4452</v>
      </c>
      <c r="E23" s="33">
        <f t="shared" ref="E23:E24" si="7">+E13+E15+E17+E19+E21</f>
        <v>133.25059999999999</v>
      </c>
      <c r="F23" s="181">
        <f t="shared" si="0"/>
        <v>252.69579999999999</v>
      </c>
      <c r="G23" s="49">
        <f t="shared" ref="G23:H24" si="8">+G13+G15+G17+G19+G21</f>
        <v>195.72220000000002</v>
      </c>
      <c r="H23" s="49">
        <f t="shared" si="8"/>
        <v>297.40099999999995</v>
      </c>
      <c r="I23" s="50"/>
      <c r="J23" s="181">
        <f t="shared" si="1"/>
        <v>297.40099999999995</v>
      </c>
      <c r="K23" s="49">
        <f t="shared" ref="K23:L24" si="9">+K13+K15+K17+K19+K21</f>
        <v>36.246900000000004</v>
      </c>
      <c r="L23" s="33">
        <f t="shared" si="9"/>
        <v>0.28225</v>
      </c>
      <c r="M23" s="33"/>
      <c r="N23" s="33"/>
      <c r="O23" s="33"/>
      <c r="P23" s="33"/>
      <c r="Q23" s="175">
        <f t="shared" si="2"/>
        <v>782.34814999999992</v>
      </c>
      <c r="R23" s="47"/>
    </row>
    <row r="24" spans="1:18">
      <c r="A24" s="183"/>
      <c r="B24" s="309"/>
      <c r="C24" s="177" t="s">
        <v>13</v>
      </c>
      <c r="D24" s="54">
        <f t="shared" si="6"/>
        <v>153362.97696717075</v>
      </c>
      <c r="E24" s="54">
        <f t="shared" si="7"/>
        <v>125663.855</v>
      </c>
      <c r="F24" s="178">
        <f t="shared" si="0"/>
        <v>279026.83196717076</v>
      </c>
      <c r="G24" s="68">
        <f>+G14+G16+G18+G20+G22</f>
        <v>157001.49599999998</v>
      </c>
      <c r="H24" s="68">
        <f t="shared" si="8"/>
        <v>72688.615999999995</v>
      </c>
      <c r="I24" s="63"/>
      <c r="J24" s="178">
        <f t="shared" si="1"/>
        <v>72688.615999999995</v>
      </c>
      <c r="K24" s="68">
        <f t="shared" si="9"/>
        <v>11528.915000000001</v>
      </c>
      <c r="L24" s="54">
        <f t="shared" si="9"/>
        <v>734.84100000000012</v>
      </c>
      <c r="M24" s="54"/>
      <c r="N24" s="54"/>
      <c r="O24" s="54"/>
      <c r="P24" s="54"/>
      <c r="Q24" s="180">
        <f t="shared" si="2"/>
        <v>520980.69996717072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0.33400000000000002</v>
      </c>
      <c r="E25" s="52">
        <v>1.9710000000000001</v>
      </c>
      <c r="F25" s="181">
        <f t="shared" si="0"/>
        <v>2.3050000000000002</v>
      </c>
      <c r="G25" s="77">
        <v>160.38470000000001</v>
      </c>
      <c r="H25" s="77"/>
      <c r="I25" s="174"/>
      <c r="J25" s="181">
        <f t="shared" si="1"/>
        <v>0</v>
      </c>
      <c r="K25" s="77"/>
      <c r="L25" s="33">
        <v>0.14000000000000001</v>
      </c>
      <c r="M25" s="33"/>
      <c r="N25" s="33"/>
      <c r="O25" s="33"/>
      <c r="P25" s="33"/>
      <c r="Q25" s="175">
        <f t="shared" si="2"/>
        <v>162.8297</v>
      </c>
      <c r="R25" s="47"/>
    </row>
    <row r="26" spans="1:18">
      <c r="A26" s="176" t="s">
        <v>31</v>
      </c>
      <c r="B26" s="307"/>
      <c r="C26" s="177" t="s">
        <v>13</v>
      </c>
      <c r="D26" s="53">
        <v>182.09879673136956</v>
      </c>
      <c r="E26" s="53">
        <v>1724.587</v>
      </c>
      <c r="F26" s="178">
        <f t="shared" si="0"/>
        <v>1906.6857967313695</v>
      </c>
      <c r="G26" s="78">
        <v>168975.29699999999</v>
      </c>
      <c r="H26" s="78"/>
      <c r="I26" s="179"/>
      <c r="J26" s="178">
        <f t="shared" si="1"/>
        <v>0</v>
      </c>
      <c r="K26" s="78"/>
      <c r="L26" s="54">
        <v>137.59200000000001</v>
      </c>
      <c r="M26" s="54"/>
      <c r="N26" s="54"/>
      <c r="O26" s="54"/>
      <c r="P26" s="54"/>
      <c r="Q26" s="180">
        <f t="shared" si="2"/>
        <v>171019.57479673135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1.147</v>
      </c>
      <c r="E27" s="52">
        <v>10.209</v>
      </c>
      <c r="F27" s="181">
        <f t="shared" si="0"/>
        <v>11.356</v>
      </c>
      <c r="G27" s="77">
        <v>20.533799999999999</v>
      </c>
      <c r="H27" s="77">
        <v>1.5680000000000001</v>
      </c>
      <c r="I27" s="174"/>
      <c r="J27" s="181">
        <f t="shared" si="1"/>
        <v>1.5680000000000001</v>
      </c>
      <c r="K27" s="77">
        <v>0.20300000000000001</v>
      </c>
      <c r="L27" s="33">
        <v>1.4999999999999999E-2</v>
      </c>
      <c r="M27" s="33"/>
      <c r="N27" s="33"/>
      <c r="O27" s="33"/>
      <c r="P27" s="33"/>
      <c r="Q27" s="175">
        <f t="shared" si="2"/>
        <v>33.675800000000002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363.81959346952414</v>
      </c>
      <c r="E28" s="53">
        <v>3216.174</v>
      </c>
      <c r="F28" s="178">
        <f t="shared" si="0"/>
        <v>3579.9935934695241</v>
      </c>
      <c r="G28" s="78">
        <v>9836.625</v>
      </c>
      <c r="H28" s="103">
        <v>289.93700000000001</v>
      </c>
      <c r="I28" s="179"/>
      <c r="J28" s="178">
        <f t="shared" si="1"/>
        <v>289.93700000000001</v>
      </c>
      <c r="K28" s="78">
        <v>67.765000000000001</v>
      </c>
      <c r="L28" s="54">
        <v>2.4300000000000002</v>
      </c>
      <c r="M28" s="54"/>
      <c r="N28" s="54"/>
      <c r="O28" s="54"/>
      <c r="P28" s="54"/>
      <c r="Q28" s="180">
        <f t="shared" si="2"/>
        <v>13776.750593469524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f t="shared" ref="D29:D30" si="10">D25+D27</f>
        <v>1.4810000000000001</v>
      </c>
      <c r="E29" s="33">
        <f t="shared" ref="E29:E30" si="11">+E25+E27</f>
        <v>12.18</v>
      </c>
      <c r="F29" s="181">
        <f t="shared" si="0"/>
        <v>13.661</v>
      </c>
      <c r="G29" s="49">
        <f t="shared" ref="G29:G30" si="12">+G25+G27</f>
        <v>180.91849999999999</v>
      </c>
      <c r="H29" s="49">
        <f>+H25+H27</f>
        <v>1.5680000000000001</v>
      </c>
      <c r="I29" s="50"/>
      <c r="J29" s="181">
        <f t="shared" si="1"/>
        <v>1.5680000000000001</v>
      </c>
      <c r="K29" s="49">
        <f>+K25+K27</f>
        <v>0.20300000000000001</v>
      </c>
      <c r="L29" s="33">
        <f t="shared" ref="L29:L30" si="13">+L25+L27</f>
        <v>0.15500000000000003</v>
      </c>
      <c r="M29" s="55"/>
      <c r="N29" s="33"/>
      <c r="O29" s="33"/>
      <c r="P29" s="33"/>
      <c r="Q29" s="175">
        <f t="shared" si="2"/>
        <v>196.50550000000001</v>
      </c>
      <c r="R29" s="47"/>
    </row>
    <row r="30" spans="1:18">
      <c r="A30" s="183"/>
      <c r="B30" s="309"/>
      <c r="C30" s="177" t="s">
        <v>13</v>
      </c>
      <c r="D30" s="54">
        <f t="shared" si="10"/>
        <v>545.91839020089367</v>
      </c>
      <c r="E30" s="54">
        <f t="shared" si="11"/>
        <v>4940.7610000000004</v>
      </c>
      <c r="F30" s="178">
        <f t="shared" si="0"/>
        <v>5486.679390200894</v>
      </c>
      <c r="G30" s="68">
        <f t="shared" si="12"/>
        <v>178811.92199999999</v>
      </c>
      <c r="H30" s="68">
        <f>+H26+H28</f>
        <v>289.93700000000001</v>
      </c>
      <c r="I30" s="63"/>
      <c r="J30" s="178">
        <f t="shared" si="1"/>
        <v>289.93700000000001</v>
      </c>
      <c r="K30" s="68">
        <f>+K26+K28</f>
        <v>67.765000000000001</v>
      </c>
      <c r="L30" s="54">
        <f t="shared" si="13"/>
        <v>140.02200000000002</v>
      </c>
      <c r="M30" s="68"/>
      <c r="N30" s="54"/>
      <c r="O30" s="54"/>
      <c r="P30" s="54"/>
      <c r="Q30" s="180">
        <f t="shared" si="2"/>
        <v>184796.32539020092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/>
      <c r="E31" s="52"/>
      <c r="F31" s="181">
        <f t="shared" si="0"/>
        <v>0</v>
      </c>
      <c r="G31" s="77">
        <v>0</v>
      </c>
      <c r="H31" s="77">
        <v>511.30900000000003</v>
      </c>
      <c r="I31" s="174"/>
      <c r="J31" s="181">
        <f t="shared" si="1"/>
        <v>511.30900000000003</v>
      </c>
      <c r="K31" s="77">
        <v>63.756999999999998</v>
      </c>
      <c r="L31" s="33">
        <v>0.36459999999999998</v>
      </c>
      <c r="M31" s="33"/>
      <c r="N31" s="33"/>
      <c r="O31" s="33"/>
      <c r="P31" s="33"/>
      <c r="Q31" s="175">
        <f t="shared" si="2"/>
        <v>575.43060000000003</v>
      </c>
      <c r="R31" s="47"/>
    </row>
    <row r="32" spans="1:18">
      <c r="A32" s="176" t="s">
        <v>36</v>
      </c>
      <c r="B32" s="307"/>
      <c r="C32" s="177" t="s">
        <v>13</v>
      </c>
      <c r="D32" s="53"/>
      <c r="E32" s="53"/>
      <c r="F32" s="178">
        <f t="shared" si="0"/>
        <v>0</v>
      </c>
      <c r="G32" s="78">
        <v>2.0299999999999998</v>
      </c>
      <c r="H32" s="78">
        <v>109779.57399999999</v>
      </c>
      <c r="I32" s="179"/>
      <c r="J32" s="178">
        <f t="shared" si="1"/>
        <v>109779.57399999999</v>
      </c>
      <c r="K32" s="78">
        <v>15477.266</v>
      </c>
      <c r="L32" s="54">
        <v>93.512</v>
      </c>
      <c r="M32" s="54"/>
      <c r="N32" s="54"/>
      <c r="O32" s="54"/>
      <c r="P32" s="54"/>
      <c r="Q32" s="180">
        <f t="shared" si="2"/>
        <v>125352.382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/>
      <c r="E33" s="52"/>
      <c r="F33" s="181">
        <f t="shared" si="0"/>
        <v>0</v>
      </c>
      <c r="G33" s="77"/>
      <c r="H33" s="77">
        <v>18.980799999999999</v>
      </c>
      <c r="I33" s="174"/>
      <c r="J33" s="181">
        <f t="shared" si="1"/>
        <v>18.980799999999999</v>
      </c>
      <c r="K33" s="77">
        <v>2.202</v>
      </c>
      <c r="L33" s="33">
        <v>2.5000000000000001E-2</v>
      </c>
      <c r="M33" s="33"/>
      <c r="N33" s="33"/>
      <c r="O33" s="33"/>
      <c r="P33" s="33"/>
      <c r="Q33" s="175">
        <f t="shared" si="2"/>
        <v>21.207799999999999</v>
      </c>
      <c r="R33" s="47"/>
    </row>
    <row r="34" spans="1:18">
      <c r="A34" s="176" t="s">
        <v>38</v>
      </c>
      <c r="B34" s="307"/>
      <c r="C34" s="177" t="s">
        <v>13</v>
      </c>
      <c r="D34" s="53"/>
      <c r="E34" s="53"/>
      <c r="F34" s="178">
        <f t="shared" si="0"/>
        <v>0</v>
      </c>
      <c r="G34" s="78"/>
      <c r="H34" s="78">
        <v>2061.7449999999999</v>
      </c>
      <c r="I34" s="179"/>
      <c r="J34" s="178">
        <f t="shared" si="1"/>
        <v>2061.7449999999999</v>
      </c>
      <c r="K34" s="78">
        <v>21.646000000000001</v>
      </c>
      <c r="L34" s="54">
        <v>4.2119999999999997</v>
      </c>
      <c r="M34" s="54"/>
      <c r="N34" s="54"/>
      <c r="O34" s="54"/>
      <c r="P34" s="54"/>
      <c r="Q34" s="180">
        <f t="shared" si="2"/>
        <v>2087.6030000000001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0.98899999999999999</v>
      </c>
      <c r="I35" s="174"/>
      <c r="J35" s="181">
        <f t="shared" si="1"/>
        <v>0.98899999999999999</v>
      </c>
      <c r="K35" s="77"/>
      <c r="L35" s="33"/>
      <c r="M35" s="33"/>
      <c r="N35" s="33">
        <v>1.1999999999999999E-3</v>
      </c>
      <c r="O35" s="33"/>
      <c r="P35" s="33"/>
      <c r="Q35" s="175">
        <f t="shared" si="2"/>
        <v>0.99019999999999997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41.927</v>
      </c>
      <c r="I36" s="179"/>
      <c r="J36" s="178">
        <f t="shared" si="1"/>
        <v>41.927</v>
      </c>
      <c r="K36" s="78"/>
      <c r="L36" s="54"/>
      <c r="M36" s="54"/>
      <c r="N36" s="54">
        <v>0.36699999999999999</v>
      </c>
      <c r="O36" s="54"/>
      <c r="P36" s="54"/>
      <c r="Q36" s="180">
        <f t="shared" si="2"/>
        <v>42.293999999999997</v>
      </c>
      <c r="R36" s="47"/>
    </row>
    <row r="37" spans="1:18">
      <c r="A37" s="27"/>
      <c r="B37" s="308" t="s">
        <v>19</v>
      </c>
      <c r="C37" s="48" t="s">
        <v>11</v>
      </c>
      <c r="D37" s="33"/>
      <c r="E37" s="33"/>
      <c r="F37" s="181">
        <f t="shared" si="0"/>
        <v>0</v>
      </c>
      <c r="G37" s="49">
        <f t="shared" ref="G37:H38" si="14">+G31+G33+G35</f>
        <v>0</v>
      </c>
      <c r="H37" s="49">
        <f t="shared" si="14"/>
        <v>531.27880000000005</v>
      </c>
      <c r="I37" s="50"/>
      <c r="J37" s="181">
        <f t="shared" si="1"/>
        <v>531.27880000000005</v>
      </c>
      <c r="K37" s="49">
        <f t="shared" ref="K37:L38" si="15">+K31+K33+K35</f>
        <v>65.959000000000003</v>
      </c>
      <c r="L37" s="33">
        <f t="shared" si="15"/>
        <v>0.3896</v>
      </c>
      <c r="M37" s="33"/>
      <c r="N37" s="33">
        <f t="shared" ref="N37:N38" si="16">+N31+N33+N35</f>
        <v>1.1999999999999999E-3</v>
      </c>
      <c r="O37" s="33"/>
      <c r="P37" s="33"/>
      <c r="Q37" s="175">
        <f t="shared" si="2"/>
        <v>597.62860000000012</v>
      </c>
      <c r="R37" s="47"/>
    </row>
    <row r="38" spans="1:18">
      <c r="A38" s="183"/>
      <c r="B38" s="309"/>
      <c r="C38" s="177" t="s">
        <v>13</v>
      </c>
      <c r="D38" s="54"/>
      <c r="E38" s="54"/>
      <c r="F38" s="178">
        <f t="shared" si="0"/>
        <v>0</v>
      </c>
      <c r="G38" s="68">
        <f t="shared" si="14"/>
        <v>2.0299999999999998</v>
      </c>
      <c r="H38" s="68">
        <f t="shared" si="14"/>
        <v>111883.24599999998</v>
      </c>
      <c r="I38" s="63"/>
      <c r="J38" s="178">
        <f t="shared" si="1"/>
        <v>111883.24599999998</v>
      </c>
      <c r="K38" s="68">
        <f t="shared" si="15"/>
        <v>15498.912</v>
      </c>
      <c r="L38" s="54">
        <f t="shared" si="15"/>
        <v>97.724000000000004</v>
      </c>
      <c r="M38" s="54"/>
      <c r="N38" s="54">
        <f t="shared" si="16"/>
        <v>0.36699999999999999</v>
      </c>
      <c r="O38" s="54"/>
      <c r="P38" s="54"/>
      <c r="Q38" s="180">
        <f t="shared" si="2"/>
        <v>127482.27899999998</v>
      </c>
      <c r="R38" s="47"/>
    </row>
    <row r="39" spans="1:18">
      <c r="A39" s="310" t="s">
        <v>40</v>
      </c>
      <c r="B39" s="311"/>
      <c r="C39" s="48" t="s">
        <v>11</v>
      </c>
      <c r="D39" s="52">
        <v>6.8500000000000005E-2</v>
      </c>
      <c r="E39" s="52">
        <v>0.62209999999999999</v>
      </c>
      <c r="F39" s="181">
        <f t="shared" si="0"/>
        <v>0.69059999999999999</v>
      </c>
      <c r="G39" s="77">
        <v>0.61470000000000002</v>
      </c>
      <c r="H39" s="77">
        <v>249.61279999999999</v>
      </c>
      <c r="I39" s="174"/>
      <c r="J39" s="181">
        <f t="shared" si="1"/>
        <v>249.61279999999999</v>
      </c>
      <c r="K39" s="77">
        <v>249.29859999999999</v>
      </c>
      <c r="L39" s="33">
        <v>0.12470000000000001</v>
      </c>
      <c r="M39" s="33"/>
      <c r="N39" s="33">
        <v>3.3799999999999997E-2</v>
      </c>
      <c r="O39" s="33"/>
      <c r="P39" s="33">
        <v>6.4999999999999997E-3</v>
      </c>
      <c r="Q39" s="175">
        <f t="shared" si="2"/>
        <v>500.38169999999997</v>
      </c>
      <c r="R39" s="47"/>
    </row>
    <row r="40" spans="1:18">
      <c r="A40" s="312"/>
      <c r="B40" s="313"/>
      <c r="C40" s="177" t="s">
        <v>13</v>
      </c>
      <c r="D40" s="53">
        <v>55.555199002797281</v>
      </c>
      <c r="E40" s="53">
        <v>302.548</v>
      </c>
      <c r="F40" s="178">
        <f t="shared" si="0"/>
        <v>358.10319900279728</v>
      </c>
      <c r="G40" s="78">
        <v>356.96199999999999</v>
      </c>
      <c r="H40" s="78">
        <v>112376.337</v>
      </c>
      <c r="I40" s="179"/>
      <c r="J40" s="178">
        <f t="shared" si="1"/>
        <v>112376.337</v>
      </c>
      <c r="K40" s="78">
        <v>114615.988</v>
      </c>
      <c r="L40" s="54">
        <v>78.355000000000004</v>
      </c>
      <c r="M40" s="54"/>
      <c r="N40" s="54">
        <v>8.1809999999999992</v>
      </c>
      <c r="O40" s="54"/>
      <c r="P40" s="54">
        <f>1.65*1.08</f>
        <v>1.782</v>
      </c>
      <c r="Q40" s="180">
        <f t="shared" si="2"/>
        <v>227795.70819900284</v>
      </c>
      <c r="R40" s="47"/>
    </row>
    <row r="41" spans="1:18">
      <c r="A41" s="310" t="s">
        <v>41</v>
      </c>
      <c r="B41" s="311"/>
      <c r="C41" s="48" t="s">
        <v>11</v>
      </c>
      <c r="D41" s="52">
        <v>0.3024</v>
      </c>
      <c r="E41" s="52"/>
      <c r="F41" s="181">
        <f t="shared" si="0"/>
        <v>0.3024</v>
      </c>
      <c r="G41" s="77">
        <v>95.084800000000001</v>
      </c>
      <c r="H41" s="77">
        <v>88.0274</v>
      </c>
      <c r="I41" s="174"/>
      <c r="J41" s="181">
        <f t="shared" si="1"/>
        <v>88.0274</v>
      </c>
      <c r="K41" s="77">
        <v>22.7669</v>
      </c>
      <c r="L41" s="33">
        <v>16.424800000000001</v>
      </c>
      <c r="M41" s="33"/>
      <c r="N41" s="33">
        <v>4.4000000000000003E-3</v>
      </c>
      <c r="O41" s="33">
        <v>6.3399999999999998E-2</v>
      </c>
      <c r="P41" s="33"/>
      <c r="Q41" s="175">
        <f t="shared" si="2"/>
        <v>222.67410000000001</v>
      </c>
      <c r="R41" s="47"/>
    </row>
    <row r="42" spans="1:18">
      <c r="A42" s="312"/>
      <c r="B42" s="313"/>
      <c r="C42" s="177" t="s">
        <v>13</v>
      </c>
      <c r="D42" s="53">
        <v>289.59659480180943</v>
      </c>
      <c r="E42" s="53"/>
      <c r="F42" s="178">
        <f t="shared" si="0"/>
        <v>289.59659480180943</v>
      </c>
      <c r="G42" s="78">
        <v>27763.202000000001</v>
      </c>
      <c r="H42" s="78">
        <v>27294.409</v>
      </c>
      <c r="I42" s="179"/>
      <c r="J42" s="178">
        <f t="shared" si="1"/>
        <v>27294.409</v>
      </c>
      <c r="K42" s="78">
        <v>4894.6390000000001</v>
      </c>
      <c r="L42" s="54">
        <v>1671.635</v>
      </c>
      <c r="M42" s="54"/>
      <c r="N42" s="54">
        <v>0.45400000000000001</v>
      </c>
      <c r="O42" s="54">
        <v>6.6040000000000001</v>
      </c>
      <c r="P42" s="54"/>
      <c r="Q42" s="180">
        <f t="shared" si="2"/>
        <v>61920.539594801812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>
        <v>1E-3</v>
      </c>
      <c r="E45" s="52"/>
      <c r="F45" s="181">
        <f t="shared" si="0"/>
        <v>1E-3</v>
      </c>
      <c r="G45" s="77"/>
      <c r="H45" s="77"/>
      <c r="I45" s="174"/>
      <c r="J45" s="181">
        <f t="shared" si="1"/>
        <v>0</v>
      </c>
      <c r="K45" s="77"/>
      <c r="L45" s="33"/>
      <c r="M45" s="33"/>
      <c r="N45" s="33"/>
      <c r="O45" s="33"/>
      <c r="P45" s="33"/>
      <c r="Q45" s="175">
        <f t="shared" si="2"/>
        <v>1E-3</v>
      </c>
      <c r="R45" s="47"/>
    </row>
    <row r="46" spans="1:18">
      <c r="A46" s="312"/>
      <c r="B46" s="313"/>
      <c r="C46" s="177" t="s">
        <v>13</v>
      </c>
      <c r="D46" s="53">
        <v>0.3239999941842765</v>
      </c>
      <c r="E46" s="53"/>
      <c r="F46" s="178">
        <f t="shared" si="0"/>
        <v>0.3239999941842765</v>
      </c>
      <c r="G46" s="78"/>
      <c r="H46" s="78"/>
      <c r="I46" s="179"/>
      <c r="J46" s="178">
        <f t="shared" si="1"/>
        <v>0</v>
      </c>
      <c r="K46" s="78"/>
      <c r="L46" s="54"/>
      <c r="M46" s="54"/>
      <c r="N46" s="54"/>
      <c r="O46" s="54"/>
      <c r="P46" s="54"/>
      <c r="Q46" s="180">
        <f t="shared" si="2"/>
        <v>0.3239999941842765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>
        <v>0</v>
      </c>
      <c r="H47" s="77">
        <v>5.0000000000000001E-3</v>
      </c>
      <c r="I47" s="174"/>
      <c r="J47" s="181">
        <f t="shared" si="1"/>
        <v>5.0000000000000001E-3</v>
      </c>
      <c r="K47" s="77"/>
      <c r="L47" s="33"/>
      <c r="M47" s="33"/>
      <c r="N47" s="33"/>
      <c r="O47" s="33"/>
      <c r="P47" s="33"/>
      <c r="Q47" s="175">
        <f t="shared" si="2"/>
        <v>5.0000000000000001E-3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>
        <v>6.48</v>
      </c>
      <c r="H48" s="78">
        <v>2.2250000000000001</v>
      </c>
      <c r="I48" s="179"/>
      <c r="J48" s="178">
        <f t="shared" si="1"/>
        <v>2.2250000000000001</v>
      </c>
      <c r="K48" s="78"/>
      <c r="L48" s="54"/>
      <c r="M48" s="54"/>
      <c r="N48" s="54"/>
      <c r="O48" s="54"/>
      <c r="P48" s="54"/>
      <c r="Q48" s="180">
        <f t="shared" si="2"/>
        <v>8.7050000000000001</v>
      </c>
      <c r="R48" s="47"/>
    </row>
    <row r="49" spans="1:18">
      <c r="A49" s="310" t="s">
        <v>45</v>
      </c>
      <c r="B49" s="311"/>
      <c r="C49" s="48" t="s">
        <v>11</v>
      </c>
      <c r="D49" s="52">
        <v>14.5877</v>
      </c>
      <c r="E49" s="52">
        <v>203.8939</v>
      </c>
      <c r="F49" s="181">
        <f t="shared" si="0"/>
        <v>218.48160000000001</v>
      </c>
      <c r="G49" s="77">
        <v>89.858000000000004</v>
      </c>
      <c r="H49" s="77">
        <v>635.09979999999996</v>
      </c>
      <c r="I49" s="174"/>
      <c r="J49" s="181">
        <f t="shared" si="1"/>
        <v>635.09979999999996</v>
      </c>
      <c r="K49" s="77">
        <v>640.30200000000002</v>
      </c>
      <c r="L49" s="33">
        <v>2.6244999999999998</v>
      </c>
      <c r="M49" s="33"/>
      <c r="N49" s="33"/>
      <c r="O49" s="33"/>
      <c r="P49" s="33"/>
      <c r="Q49" s="175">
        <f t="shared" si="2"/>
        <v>1586.3658999999998</v>
      </c>
      <c r="R49" s="47"/>
    </row>
    <row r="50" spans="1:18">
      <c r="A50" s="312"/>
      <c r="B50" s="313"/>
      <c r="C50" s="177" t="s">
        <v>13</v>
      </c>
      <c r="D50" s="53">
        <v>1155.8980592519026</v>
      </c>
      <c r="E50" s="53">
        <v>15384.601000000001</v>
      </c>
      <c r="F50" s="178">
        <f t="shared" si="0"/>
        <v>16540.499059251903</v>
      </c>
      <c r="G50" s="78">
        <v>8910.4259999999995</v>
      </c>
      <c r="H50" s="78">
        <v>101523.91899999999</v>
      </c>
      <c r="I50" s="179"/>
      <c r="J50" s="178">
        <f t="shared" si="1"/>
        <v>101523.91899999999</v>
      </c>
      <c r="K50" s="78">
        <v>73649.168000000005</v>
      </c>
      <c r="L50" s="54">
        <v>198.98699999999999</v>
      </c>
      <c r="M50" s="54"/>
      <c r="N50" s="54"/>
      <c r="O50" s="54"/>
      <c r="P50" s="54"/>
      <c r="Q50" s="180">
        <f t="shared" si="2"/>
        <v>200822.99905925189</v>
      </c>
      <c r="R50" s="47"/>
    </row>
    <row r="51" spans="1:18">
      <c r="A51" s="310" t="s">
        <v>46</v>
      </c>
      <c r="B51" s="311"/>
      <c r="C51" s="48" t="s">
        <v>11</v>
      </c>
      <c r="D51" s="52">
        <v>3.4140000000000001</v>
      </c>
      <c r="E51" s="52">
        <v>0.05</v>
      </c>
      <c r="F51" s="181">
        <f t="shared" si="0"/>
        <v>3.464</v>
      </c>
      <c r="G51" s="77">
        <v>24.126000000000001</v>
      </c>
      <c r="H51" s="77"/>
      <c r="I51" s="174"/>
      <c r="J51" s="181">
        <f t="shared" si="1"/>
        <v>0</v>
      </c>
      <c r="K51" s="77"/>
      <c r="L51" s="33"/>
      <c r="M51" s="33"/>
      <c r="N51" s="33"/>
      <c r="O51" s="33"/>
      <c r="P51" s="33"/>
      <c r="Q51" s="175">
        <f t="shared" si="2"/>
        <v>27.59</v>
      </c>
      <c r="R51" s="47"/>
    </row>
    <row r="52" spans="1:18">
      <c r="A52" s="312"/>
      <c r="B52" s="313"/>
      <c r="C52" s="177" t="s">
        <v>13</v>
      </c>
      <c r="D52" s="53">
        <v>4397.1983210713279</v>
      </c>
      <c r="E52" s="53">
        <v>42.66</v>
      </c>
      <c r="F52" s="178">
        <f t="shared" si="0"/>
        <v>4439.8583210713277</v>
      </c>
      <c r="G52" s="78">
        <v>24102.36</v>
      </c>
      <c r="H52" s="78"/>
      <c r="I52" s="179"/>
      <c r="J52" s="178">
        <f t="shared" si="1"/>
        <v>0</v>
      </c>
      <c r="K52" s="78"/>
      <c r="L52" s="54"/>
      <c r="M52" s="54"/>
      <c r="N52" s="54"/>
      <c r="O52" s="54"/>
      <c r="P52" s="54"/>
      <c r="Q52" s="180">
        <f t="shared" si="2"/>
        <v>28542.218321071326</v>
      </c>
      <c r="R52" s="47"/>
    </row>
    <row r="53" spans="1:18">
      <c r="A53" s="310" t="s">
        <v>47</v>
      </c>
      <c r="B53" s="311"/>
      <c r="C53" s="48" t="s">
        <v>11</v>
      </c>
      <c r="D53" s="52">
        <v>1.5E-3</v>
      </c>
      <c r="E53" s="52">
        <v>1.2500000000000001E-2</v>
      </c>
      <c r="F53" s="181">
        <f t="shared" si="0"/>
        <v>1.4E-2</v>
      </c>
      <c r="G53" s="77">
        <v>0.65310000000000001</v>
      </c>
      <c r="H53" s="77">
        <v>0.1182</v>
      </c>
      <c r="I53" s="174"/>
      <c r="J53" s="181">
        <f t="shared" si="1"/>
        <v>0.1182</v>
      </c>
      <c r="K53" s="77">
        <v>380.83260000000001</v>
      </c>
      <c r="L53" s="33">
        <v>54.370899999999999</v>
      </c>
      <c r="M53" s="33"/>
      <c r="N53" s="33"/>
      <c r="O53" s="33"/>
      <c r="P53" s="33"/>
      <c r="Q53" s="175">
        <f t="shared" si="2"/>
        <v>435.98880000000003</v>
      </c>
      <c r="R53" s="47"/>
    </row>
    <row r="54" spans="1:18">
      <c r="A54" s="312"/>
      <c r="B54" s="313"/>
      <c r="C54" s="177" t="s">
        <v>13</v>
      </c>
      <c r="D54" s="53">
        <v>0.2429999956382074</v>
      </c>
      <c r="E54" s="53">
        <v>18.225000000000001</v>
      </c>
      <c r="F54" s="178">
        <f t="shared" si="0"/>
        <v>18.467999995638209</v>
      </c>
      <c r="G54" s="78">
        <v>683.80499999999995</v>
      </c>
      <c r="H54" s="78">
        <v>84.623999999999995</v>
      </c>
      <c r="I54" s="179"/>
      <c r="J54" s="178">
        <f t="shared" si="1"/>
        <v>84.623999999999995</v>
      </c>
      <c r="K54" s="78">
        <v>206322.52499999999</v>
      </c>
      <c r="L54" s="54">
        <v>28268.719000000001</v>
      </c>
      <c r="M54" s="54"/>
      <c r="N54" s="54"/>
      <c r="O54" s="54"/>
      <c r="P54" s="54"/>
      <c r="Q54" s="180">
        <f t="shared" si="2"/>
        <v>235378.14099999564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0.65939999999999999</v>
      </c>
      <c r="E55" s="52"/>
      <c r="F55" s="181">
        <f t="shared" si="0"/>
        <v>0.65939999999999999</v>
      </c>
      <c r="G55" s="77">
        <v>3.5999999999999999E-3</v>
      </c>
      <c r="H55" s="77">
        <v>74.167000000000002</v>
      </c>
      <c r="I55" s="174"/>
      <c r="J55" s="181">
        <f t="shared" si="1"/>
        <v>74.167000000000002</v>
      </c>
      <c r="K55" s="77">
        <v>4.4870999999999999</v>
      </c>
      <c r="L55" s="33">
        <v>1.3599999999999999E-2</v>
      </c>
      <c r="M55" s="33">
        <v>3.5000000000000001E-3</v>
      </c>
      <c r="N55" s="33">
        <v>0.1739</v>
      </c>
      <c r="O55" s="33">
        <v>5.5500000000000001E-2</v>
      </c>
      <c r="P55" s="33">
        <v>6.1400000000000003E-2</v>
      </c>
      <c r="Q55" s="175">
        <f t="shared" si="2"/>
        <v>79.625</v>
      </c>
      <c r="R55" s="47"/>
    </row>
    <row r="56" spans="1:18">
      <c r="A56" s="176" t="s">
        <v>36</v>
      </c>
      <c r="B56" s="307"/>
      <c r="C56" s="177" t="s">
        <v>13</v>
      </c>
      <c r="D56" s="53">
        <v>597.9041892677609</v>
      </c>
      <c r="E56" s="53"/>
      <c r="F56" s="178">
        <f t="shared" si="0"/>
        <v>597.9041892677609</v>
      </c>
      <c r="G56" s="78">
        <v>29.254000000000001</v>
      </c>
      <c r="H56" s="78">
        <v>40819.993000000002</v>
      </c>
      <c r="I56" s="179"/>
      <c r="J56" s="178">
        <f t="shared" si="1"/>
        <v>40819.993000000002</v>
      </c>
      <c r="K56" s="78">
        <v>2600.761</v>
      </c>
      <c r="L56" s="54">
        <v>16.917999999999999</v>
      </c>
      <c r="M56" s="54">
        <f>3.85*1.08</f>
        <v>4.1580000000000004</v>
      </c>
      <c r="N56" s="54">
        <v>116.5</v>
      </c>
      <c r="O56" s="54">
        <v>29.904</v>
      </c>
      <c r="P56" s="54">
        <f>45.43*1.08</f>
        <v>49.064400000000006</v>
      </c>
      <c r="Q56" s="180">
        <f t="shared" si="2"/>
        <v>44264.456589267771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0.36749999999999999</v>
      </c>
      <c r="E57" s="52">
        <v>0.36459999999999998</v>
      </c>
      <c r="F57" s="181">
        <f t="shared" si="0"/>
        <v>0.73209999999999997</v>
      </c>
      <c r="G57" s="77">
        <v>0.2646</v>
      </c>
      <c r="H57" s="77">
        <v>0.53180000000000005</v>
      </c>
      <c r="I57" s="174"/>
      <c r="J57" s="181">
        <f t="shared" si="1"/>
        <v>0.53180000000000005</v>
      </c>
      <c r="K57" s="77">
        <v>0.42799999999999999</v>
      </c>
      <c r="L57" s="33">
        <v>4.9099999999999998E-2</v>
      </c>
      <c r="M57" s="33"/>
      <c r="N57" s="33">
        <v>0.20960000000000001</v>
      </c>
      <c r="O57" s="33">
        <v>1.4E-3</v>
      </c>
      <c r="P57" s="33">
        <v>1.18E-2</v>
      </c>
      <c r="Q57" s="175">
        <f t="shared" si="2"/>
        <v>2.2283999999999997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45.856799176881275</v>
      </c>
      <c r="E58" s="53">
        <v>180.119</v>
      </c>
      <c r="F58" s="178">
        <f t="shared" si="0"/>
        <v>225.97579917688128</v>
      </c>
      <c r="G58" s="78">
        <v>228.78</v>
      </c>
      <c r="H58" s="78">
        <v>658.39499999999998</v>
      </c>
      <c r="I58" s="179"/>
      <c r="J58" s="178">
        <f t="shared" si="1"/>
        <v>658.39499999999998</v>
      </c>
      <c r="K58" s="78">
        <v>237.77</v>
      </c>
      <c r="L58" s="54">
        <v>24.003</v>
      </c>
      <c r="M58" s="54"/>
      <c r="N58" s="54">
        <v>140.64599999999999</v>
      </c>
      <c r="O58" s="54">
        <v>3.024</v>
      </c>
      <c r="P58" s="54">
        <f>10.33*1.08</f>
        <v>11.156400000000001</v>
      </c>
      <c r="Q58" s="180">
        <f t="shared" si="2"/>
        <v>1529.7501991768811</v>
      </c>
      <c r="R58" s="47"/>
    </row>
    <row r="59" spans="1:18">
      <c r="A59" s="27"/>
      <c r="B59" s="308" t="s">
        <v>19</v>
      </c>
      <c r="C59" s="48" t="s">
        <v>11</v>
      </c>
      <c r="D59" s="33">
        <f t="shared" ref="D59:D60" si="17">D55+D57</f>
        <v>1.0268999999999999</v>
      </c>
      <c r="E59" s="33">
        <f t="shared" ref="E59:E60" si="18">+E55+E57</f>
        <v>0.36459999999999998</v>
      </c>
      <c r="F59" s="181">
        <f t="shared" si="0"/>
        <v>1.3915</v>
      </c>
      <c r="G59" s="49">
        <f t="shared" ref="G59:G60" si="19">+G55+G57</f>
        <v>0.26819999999999999</v>
      </c>
      <c r="H59" s="49">
        <f>+H55+H57</f>
        <v>74.698800000000006</v>
      </c>
      <c r="I59" s="50"/>
      <c r="J59" s="181">
        <f t="shared" si="1"/>
        <v>74.698800000000006</v>
      </c>
      <c r="K59" s="49">
        <f t="shared" ref="K59:L60" si="20">+K55+K57</f>
        <v>4.9150999999999998</v>
      </c>
      <c r="L59" s="33">
        <f t="shared" si="20"/>
        <v>6.2699999999999992E-2</v>
      </c>
      <c r="M59" s="33">
        <f>+M55+M57</f>
        <v>3.5000000000000001E-3</v>
      </c>
      <c r="N59" s="33">
        <f t="shared" ref="N59:P60" si="21">+N55+N57</f>
        <v>0.38350000000000001</v>
      </c>
      <c r="O59" s="33">
        <f t="shared" si="21"/>
        <v>5.6899999999999999E-2</v>
      </c>
      <c r="P59" s="33">
        <f t="shared" si="21"/>
        <v>7.3200000000000001E-2</v>
      </c>
      <c r="Q59" s="175">
        <f t="shared" si="2"/>
        <v>81.853400000000008</v>
      </c>
      <c r="R59" s="47"/>
    </row>
    <row r="60" spans="1:18">
      <c r="A60" s="183"/>
      <c r="B60" s="309"/>
      <c r="C60" s="177" t="s">
        <v>13</v>
      </c>
      <c r="D60" s="54">
        <f t="shared" si="17"/>
        <v>643.76098844464218</v>
      </c>
      <c r="E60" s="54">
        <f t="shared" si="18"/>
        <v>180.119</v>
      </c>
      <c r="F60" s="178">
        <f t="shared" si="0"/>
        <v>823.87998844464221</v>
      </c>
      <c r="G60" s="68">
        <f t="shared" si="19"/>
        <v>258.03399999999999</v>
      </c>
      <c r="H60" s="68">
        <f>+H56+H58</f>
        <v>41478.387999999999</v>
      </c>
      <c r="I60" s="63"/>
      <c r="J60" s="178">
        <f t="shared" si="1"/>
        <v>41478.387999999999</v>
      </c>
      <c r="K60" s="68">
        <f t="shared" si="20"/>
        <v>2838.5309999999999</v>
      </c>
      <c r="L60" s="54">
        <f t="shared" si="20"/>
        <v>40.920999999999999</v>
      </c>
      <c r="M60" s="54">
        <f>+M56+M58</f>
        <v>4.1580000000000004</v>
      </c>
      <c r="N60" s="54">
        <f t="shared" si="21"/>
        <v>257.14599999999996</v>
      </c>
      <c r="O60" s="54">
        <f t="shared" si="21"/>
        <v>32.927999999999997</v>
      </c>
      <c r="P60" s="54">
        <f t="shared" si="21"/>
        <v>60.220800000000011</v>
      </c>
      <c r="Q60" s="180">
        <f t="shared" si="2"/>
        <v>45794.206788444651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0.55800000000000005</v>
      </c>
      <c r="E61" s="52"/>
      <c r="F61" s="181">
        <f t="shared" si="0"/>
        <v>0.55800000000000005</v>
      </c>
      <c r="G61" s="77"/>
      <c r="H61" s="77">
        <v>0.12939999999999999</v>
      </c>
      <c r="I61" s="174"/>
      <c r="J61" s="181">
        <f t="shared" si="1"/>
        <v>0.12939999999999999</v>
      </c>
      <c r="K61" s="77"/>
      <c r="L61" s="33">
        <v>1E-3</v>
      </c>
      <c r="M61" s="33"/>
      <c r="N61" s="33"/>
      <c r="O61" s="33"/>
      <c r="P61" s="33"/>
      <c r="Q61" s="175">
        <f t="shared" si="2"/>
        <v>0.68840000000000001</v>
      </c>
      <c r="R61" s="47"/>
    </row>
    <row r="62" spans="1:18">
      <c r="A62" s="176" t="s">
        <v>51</v>
      </c>
      <c r="B62" s="307"/>
      <c r="C62" s="177" t="s">
        <v>13</v>
      </c>
      <c r="D62" s="53">
        <v>42.184799242792806</v>
      </c>
      <c r="E62" s="53"/>
      <c r="F62" s="178">
        <f t="shared" si="0"/>
        <v>42.184799242792806</v>
      </c>
      <c r="G62" s="78"/>
      <c r="H62" s="78">
        <v>3.4449999999999998</v>
      </c>
      <c r="I62" s="179"/>
      <c r="J62" s="178">
        <f t="shared" si="1"/>
        <v>3.4449999999999998</v>
      </c>
      <c r="K62" s="78"/>
      <c r="L62" s="54">
        <v>0.108</v>
      </c>
      <c r="M62" s="54"/>
      <c r="N62" s="54"/>
      <c r="O62" s="54"/>
      <c r="P62" s="54"/>
      <c r="Q62" s="180">
        <f t="shared" si="2"/>
        <v>45.737799242792804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0</v>
      </c>
      <c r="E63" s="52">
        <v>13.18</v>
      </c>
      <c r="F63" s="181">
        <f t="shared" si="0"/>
        <v>13.18</v>
      </c>
      <c r="G63" s="77">
        <v>458.34800000000001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471.52800000000002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0.53999999030712753</v>
      </c>
      <c r="E64" s="53">
        <v>1138.752</v>
      </c>
      <c r="F64" s="178">
        <f t="shared" si="0"/>
        <v>1139.291999990307</v>
      </c>
      <c r="G64" s="78">
        <v>73174.010999999999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74313.302999990308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211.68199999999999</v>
      </c>
      <c r="H65" s="77"/>
      <c r="I65" s="174"/>
      <c r="J65" s="181">
        <f t="shared" si="1"/>
        <v>0</v>
      </c>
      <c r="K65" s="77"/>
      <c r="L65" s="33">
        <v>1E-3</v>
      </c>
      <c r="M65" s="33"/>
      <c r="N65" s="33"/>
      <c r="O65" s="33"/>
      <c r="P65" s="33"/>
      <c r="Q65" s="175">
        <f t="shared" si="2"/>
        <v>211.68299999999999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26597.566999999999</v>
      </c>
      <c r="H66" s="78"/>
      <c r="I66" s="179"/>
      <c r="J66" s="178">
        <f t="shared" si="1"/>
        <v>0</v>
      </c>
      <c r="K66" s="78"/>
      <c r="L66" s="54">
        <v>1.08</v>
      </c>
      <c r="M66" s="54"/>
      <c r="N66" s="54"/>
      <c r="O66" s="54"/>
      <c r="P66" s="54"/>
      <c r="Q66" s="180">
        <f t="shared" si="2"/>
        <v>26598.647000000001</v>
      </c>
      <c r="R66" s="47"/>
    </row>
    <row r="67" spans="1:18">
      <c r="A67" s="27"/>
      <c r="B67" s="46" t="s">
        <v>15</v>
      </c>
      <c r="C67" s="48" t="s">
        <v>11</v>
      </c>
      <c r="D67" s="52"/>
      <c r="E67" s="52">
        <v>0.20899999999999999</v>
      </c>
      <c r="F67" s="181">
        <f t="shared" si="0"/>
        <v>0.20899999999999999</v>
      </c>
      <c r="G67" s="77">
        <v>71.532300000000006</v>
      </c>
      <c r="H67" s="77"/>
      <c r="I67" s="174"/>
      <c r="J67" s="181">
        <f t="shared" si="1"/>
        <v>0</v>
      </c>
      <c r="K67" s="77"/>
      <c r="L67" s="33"/>
      <c r="M67" s="33"/>
      <c r="N67" s="33"/>
      <c r="O67" s="33"/>
      <c r="P67" s="33"/>
      <c r="Q67" s="175">
        <f t="shared" si="2"/>
        <v>71.74130000000001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/>
      <c r="E68" s="56">
        <v>8.9749999999999996</v>
      </c>
      <c r="F68" s="185">
        <f t="shared" si="0"/>
        <v>8.9749999999999996</v>
      </c>
      <c r="G68" s="104">
        <v>11097.88</v>
      </c>
      <c r="H68" s="104"/>
      <c r="I68" s="186"/>
      <c r="J68" s="185">
        <f t="shared" si="1"/>
        <v>0</v>
      </c>
      <c r="K68" s="104"/>
      <c r="L68" s="37"/>
      <c r="M68" s="37"/>
      <c r="N68" s="37"/>
      <c r="O68" s="37"/>
      <c r="P68" s="37"/>
      <c r="Q68" s="187">
        <f t="shared" si="2"/>
        <v>11106.855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109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f t="shared" ref="D76:D77" si="22">D61+D63+D65+D67</f>
        <v>0.55800000000000005</v>
      </c>
      <c r="E76" s="33">
        <f t="shared" ref="E76:E77" si="23">+E61+E63+E65+E67</f>
        <v>13.388999999999999</v>
      </c>
      <c r="F76" s="191">
        <f t="shared" ref="F76:F133" si="24">SUM(D76:E76)</f>
        <v>13.946999999999999</v>
      </c>
      <c r="G76" s="49">
        <f t="shared" ref="G76:H77" si="25">+G61+G63+G65+G67</f>
        <v>741.56229999999994</v>
      </c>
      <c r="H76" s="49">
        <f t="shared" si="25"/>
        <v>0.12939999999999999</v>
      </c>
      <c r="I76" s="50"/>
      <c r="J76" s="191">
        <f t="shared" ref="J76:J133" si="26">SUM(H76:I76)</f>
        <v>0.12939999999999999</v>
      </c>
      <c r="K76" s="49"/>
      <c r="L76" s="33">
        <f t="shared" ref="L76:L77" si="27">+L61+L63+L65+L67</f>
        <v>2E-3</v>
      </c>
      <c r="M76" s="33"/>
      <c r="N76" s="33"/>
      <c r="O76" s="33"/>
      <c r="P76" s="33"/>
      <c r="Q76" s="175">
        <f t="shared" ref="Q76:Q140" si="28">SUM(F76:G76,J76:P76)</f>
        <v>755.64069999999992</v>
      </c>
      <c r="R76" s="27"/>
    </row>
    <row r="77" spans="1:18">
      <c r="A77" s="166" t="s">
        <v>53</v>
      </c>
      <c r="B77" s="309"/>
      <c r="C77" s="192" t="s">
        <v>13</v>
      </c>
      <c r="D77" s="54">
        <f t="shared" si="22"/>
        <v>42.724799233099937</v>
      </c>
      <c r="E77" s="54">
        <f t="shared" si="23"/>
        <v>1147.7269999999999</v>
      </c>
      <c r="F77" s="193">
        <f t="shared" si="24"/>
        <v>1190.4517992330998</v>
      </c>
      <c r="G77" s="68">
        <f t="shared" si="25"/>
        <v>110869.458</v>
      </c>
      <c r="H77" s="68">
        <f t="shared" si="25"/>
        <v>3.4449999999999998</v>
      </c>
      <c r="I77" s="63"/>
      <c r="J77" s="193">
        <f t="shared" si="26"/>
        <v>3.4449999999999998</v>
      </c>
      <c r="K77" s="68"/>
      <c r="L77" s="54">
        <f t="shared" si="27"/>
        <v>1.1880000000000002</v>
      </c>
      <c r="M77" s="54"/>
      <c r="N77" s="54"/>
      <c r="O77" s="54"/>
      <c r="P77" s="54"/>
      <c r="Q77" s="180">
        <f t="shared" si="28"/>
        <v>112064.5427992331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11.9636</v>
      </c>
      <c r="E78" s="52">
        <v>11.6625</v>
      </c>
      <c r="F78" s="191">
        <f t="shared" si="24"/>
        <v>23.626100000000001</v>
      </c>
      <c r="G78" s="77">
        <v>3.2991999999999999</v>
      </c>
      <c r="H78" s="77">
        <v>72.101399999999998</v>
      </c>
      <c r="I78" s="174"/>
      <c r="J78" s="191">
        <f t="shared" si="26"/>
        <v>72.101399999999998</v>
      </c>
      <c r="K78" s="77">
        <v>2.6398000000000001</v>
      </c>
      <c r="L78" s="33">
        <v>2.6764999999999999</v>
      </c>
      <c r="M78" s="33">
        <v>5.0999999999999997E-2</v>
      </c>
      <c r="N78" s="33">
        <v>19.955400000000001</v>
      </c>
      <c r="O78" s="33">
        <v>8.6143000000000001</v>
      </c>
      <c r="P78" s="33">
        <v>16.539400000000001</v>
      </c>
      <c r="Q78" s="175">
        <f t="shared" si="28"/>
        <v>149.50310000000002</v>
      </c>
      <c r="R78" s="27"/>
    </row>
    <row r="79" spans="1:18">
      <c r="A79" s="176" t="s">
        <v>31</v>
      </c>
      <c r="B79" s="307"/>
      <c r="C79" s="192" t="s">
        <v>13</v>
      </c>
      <c r="D79" s="53">
        <v>13942.019989744031</v>
      </c>
      <c r="E79" s="53">
        <v>15891.034</v>
      </c>
      <c r="F79" s="193">
        <f t="shared" si="24"/>
        <v>29833.053989744032</v>
      </c>
      <c r="G79" s="78">
        <v>5146.4989999999998</v>
      </c>
      <c r="H79" s="78">
        <v>58972.057999999997</v>
      </c>
      <c r="I79" s="179"/>
      <c r="J79" s="193">
        <f t="shared" si="26"/>
        <v>58972.057999999997</v>
      </c>
      <c r="K79" s="78">
        <v>2439.855</v>
      </c>
      <c r="L79" s="54">
        <v>3764.9989999999998</v>
      </c>
      <c r="M79" s="54">
        <f>45.8*1.08</f>
        <v>49.463999999999999</v>
      </c>
      <c r="N79" s="54">
        <v>21154.226999999999</v>
      </c>
      <c r="O79" s="54">
        <v>8704.0640000000003</v>
      </c>
      <c r="P79" s="54">
        <f>15469.565*1.08</f>
        <v>16707.130200000003</v>
      </c>
      <c r="Q79" s="180">
        <f t="shared" si="28"/>
        <v>146771.35018974403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24"/>
        <v>0</v>
      </c>
      <c r="G80" s="77"/>
      <c r="H80" s="77">
        <v>6.5000000000000002E-2</v>
      </c>
      <c r="I80" s="174"/>
      <c r="J80" s="191">
        <f t="shared" si="26"/>
        <v>6.5000000000000002E-2</v>
      </c>
      <c r="K80" s="77">
        <v>6.0000000000000001E-3</v>
      </c>
      <c r="L80" s="33"/>
      <c r="M80" s="33"/>
      <c r="N80" s="33"/>
      <c r="O80" s="33"/>
      <c r="P80" s="33"/>
      <c r="Q80" s="175">
        <f t="shared" si="28"/>
        <v>7.1000000000000008E-2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24"/>
        <v>0</v>
      </c>
      <c r="G81" s="78"/>
      <c r="H81" s="78">
        <v>18.036000000000001</v>
      </c>
      <c r="I81" s="179"/>
      <c r="J81" s="193">
        <f t="shared" si="26"/>
        <v>18.036000000000001</v>
      </c>
      <c r="K81" s="78">
        <v>0.35099999999999998</v>
      </c>
      <c r="L81" s="54"/>
      <c r="M81" s="54"/>
      <c r="N81" s="54"/>
      <c r="O81" s="54"/>
      <c r="P81" s="54"/>
      <c r="Q81" s="180">
        <f t="shared" si="28"/>
        <v>18.387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24"/>
        <v>0</v>
      </c>
      <c r="G82" s="77"/>
      <c r="H82" s="77"/>
      <c r="I82" s="174"/>
      <c r="J82" s="191">
        <f t="shared" si="26"/>
        <v>0</v>
      </c>
      <c r="K82" s="77">
        <v>0.84399999999999997</v>
      </c>
      <c r="L82" s="33"/>
      <c r="M82" s="33"/>
      <c r="N82" s="33"/>
      <c r="O82" s="33"/>
      <c r="P82" s="33"/>
      <c r="Q82" s="175">
        <f t="shared" si="28"/>
        <v>0.84399999999999997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24"/>
        <v>0</v>
      </c>
      <c r="G83" s="78"/>
      <c r="H83" s="78"/>
      <c r="I83" s="179"/>
      <c r="J83" s="193">
        <f t="shared" si="26"/>
        <v>0</v>
      </c>
      <c r="K83" s="78">
        <v>560.25599999999997</v>
      </c>
      <c r="L83" s="54"/>
      <c r="M83" s="54"/>
      <c r="N83" s="54"/>
      <c r="O83" s="54"/>
      <c r="P83" s="54"/>
      <c r="Q83" s="180">
        <f t="shared" si="28"/>
        <v>560.25599999999997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24"/>
        <v>0</v>
      </c>
      <c r="G84" s="77"/>
      <c r="H84" s="77"/>
      <c r="I84" s="174"/>
      <c r="J84" s="191">
        <f t="shared" si="26"/>
        <v>0</v>
      </c>
      <c r="K84" s="77"/>
      <c r="L84" s="33"/>
      <c r="M84" s="33"/>
      <c r="N84" s="33"/>
      <c r="O84" s="33"/>
      <c r="P84" s="33"/>
      <c r="Q84" s="175">
        <f t="shared" si="28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24"/>
        <v>0</v>
      </c>
      <c r="G85" s="78"/>
      <c r="H85" s="78"/>
      <c r="I85" s="179"/>
      <c r="J85" s="193">
        <f t="shared" si="26"/>
        <v>0</v>
      </c>
      <c r="K85" s="78"/>
      <c r="L85" s="54"/>
      <c r="M85" s="54"/>
      <c r="N85" s="54"/>
      <c r="O85" s="54"/>
      <c r="P85" s="54"/>
      <c r="Q85" s="180">
        <f t="shared" si="28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1.9519</v>
      </c>
      <c r="E86" s="52">
        <v>2.0998000000000001</v>
      </c>
      <c r="F86" s="191">
        <f t="shared" si="24"/>
        <v>4.0517000000000003</v>
      </c>
      <c r="G86" s="77">
        <v>1.1589</v>
      </c>
      <c r="H86" s="77">
        <v>90.802899999999994</v>
      </c>
      <c r="I86" s="174"/>
      <c r="J86" s="191">
        <f t="shared" si="26"/>
        <v>90.802899999999994</v>
      </c>
      <c r="K86" s="77">
        <v>0.33629999999999999</v>
      </c>
      <c r="L86" s="33">
        <v>2.4729999999999999</v>
      </c>
      <c r="M86" s="33">
        <v>3.1899999999999998E-2</v>
      </c>
      <c r="N86" s="33">
        <v>12.9884</v>
      </c>
      <c r="O86" s="33">
        <v>1.2083999999999999</v>
      </c>
      <c r="P86" s="33">
        <v>3.3330000000000002</v>
      </c>
      <c r="Q86" s="175">
        <f t="shared" si="28"/>
        <v>116.38449999999997</v>
      </c>
      <c r="R86" s="27"/>
    </row>
    <row r="87" spans="1:18">
      <c r="A87" s="176"/>
      <c r="B87" s="177" t="s">
        <v>63</v>
      </c>
      <c r="C87" s="192" t="s">
        <v>13</v>
      </c>
      <c r="D87" s="53">
        <v>2233.5598399081277</v>
      </c>
      <c r="E87" s="53">
        <v>2608.1990000000001</v>
      </c>
      <c r="F87" s="193">
        <f t="shared" si="24"/>
        <v>4841.7588399081278</v>
      </c>
      <c r="G87" s="78">
        <v>1998.0329999999999</v>
      </c>
      <c r="H87" s="78">
        <v>35812.063000000002</v>
      </c>
      <c r="I87" s="179"/>
      <c r="J87" s="193">
        <f t="shared" si="26"/>
        <v>35812.063000000002</v>
      </c>
      <c r="K87" s="78">
        <v>171.792</v>
      </c>
      <c r="L87" s="54">
        <v>2036.75</v>
      </c>
      <c r="M87" s="54">
        <f>42.01*1.08</f>
        <v>45.370800000000003</v>
      </c>
      <c r="N87" s="54">
        <v>6420.7960000000003</v>
      </c>
      <c r="O87" s="54">
        <v>1786.1669999999999</v>
      </c>
      <c r="P87" s="54">
        <f>2936.485*1.08</f>
        <v>3171.4038000000005</v>
      </c>
      <c r="Q87" s="180">
        <f t="shared" si="28"/>
        <v>56284.134439908135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f t="shared" ref="D88:D89" si="29">D78+D80+D82+D84+D86</f>
        <v>13.9155</v>
      </c>
      <c r="E88" s="33">
        <f t="shared" ref="E88:E89" si="30">+E78+E80+E82+E84+E86</f>
        <v>13.7623</v>
      </c>
      <c r="F88" s="191">
        <f t="shared" si="24"/>
        <v>27.677799999999998</v>
      </c>
      <c r="G88" s="49">
        <f t="shared" ref="G88:H89" si="31">+G78+G80+G82+G84+G86</f>
        <v>4.4581</v>
      </c>
      <c r="H88" s="49">
        <f t="shared" si="31"/>
        <v>162.96929999999998</v>
      </c>
      <c r="I88" s="50"/>
      <c r="J88" s="191">
        <f t="shared" si="26"/>
        <v>162.96929999999998</v>
      </c>
      <c r="K88" s="49">
        <f t="shared" ref="K88:L89" si="32">+K78+K80+K82+K84+K86</f>
        <v>3.8260999999999998</v>
      </c>
      <c r="L88" s="33">
        <f t="shared" si="32"/>
        <v>5.1494999999999997</v>
      </c>
      <c r="M88" s="33">
        <f>+M78+M80+M82+M84+M86</f>
        <v>8.2900000000000001E-2</v>
      </c>
      <c r="N88" s="33">
        <f t="shared" ref="N88:P89" si="33">+N78+N80+N82+N84+N86</f>
        <v>32.943800000000003</v>
      </c>
      <c r="O88" s="33">
        <f t="shared" si="33"/>
        <v>9.8226999999999993</v>
      </c>
      <c r="P88" s="33">
        <f t="shared" si="33"/>
        <v>19.872399999999999</v>
      </c>
      <c r="Q88" s="175">
        <f t="shared" si="28"/>
        <v>266.80259999999998</v>
      </c>
      <c r="R88" s="27"/>
    </row>
    <row r="89" spans="1:18">
      <c r="A89" s="183"/>
      <c r="B89" s="309"/>
      <c r="C89" s="192" t="s">
        <v>13</v>
      </c>
      <c r="D89" s="54">
        <f t="shared" si="29"/>
        <v>16175.579829652159</v>
      </c>
      <c r="E89" s="54">
        <f t="shared" si="30"/>
        <v>18499.233</v>
      </c>
      <c r="F89" s="193">
        <f t="shared" si="24"/>
        <v>34674.812829652161</v>
      </c>
      <c r="G89" s="68">
        <f t="shared" si="31"/>
        <v>7144.5319999999992</v>
      </c>
      <c r="H89" s="68">
        <f t="shared" si="31"/>
        <v>94802.157000000007</v>
      </c>
      <c r="I89" s="63"/>
      <c r="J89" s="193">
        <f t="shared" si="26"/>
        <v>94802.157000000007</v>
      </c>
      <c r="K89" s="68">
        <f t="shared" si="32"/>
        <v>3172.2539999999999</v>
      </c>
      <c r="L89" s="54">
        <f t="shared" si="32"/>
        <v>5801.7489999999998</v>
      </c>
      <c r="M89" s="54">
        <f>+M79+M81+M83+M85+M87</f>
        <v>94.834800000000001</v>
      </c>
      <c r="N89" s="54">
        <f t="shared" si="33"/>
        <v>27575.023000000001</v>
      </c>
      <c r="O89" s="54">
        <f t="shared" si="33"/>
        <v>10490.231</v>
      </c>
      <c r="P89" s="54">
        <f t="shared" si="33"/>
        <v>19878.534000000003</v>
      </c>
      <c r="Q89" s="180">
        <f t="shared" si="28"/>
        <v>203634.12762965221</v>
      </c>
      <c r="R89" s="27"/>
    </row>
    <row r="90" spans="1:18">
      <c r="A90" s="310" t="s">
        <v>64</v>
      </c>
      <c r="B90" s="311"/>
      <c r="C90" s="32" t="s">
        <v>11</v>
      </c>
      <c r="D90" s="52">
        <v>7.3499999999999996E-2</v>
      </c>
      <c r="E90" s="52">
        <v>2.3435999999999999</v>
      </c>
      <c r="F90" s="191">
        <f t="shared" si="24"/>
        <v>2.4171</v>
      </c>
      <c r="G90" s="77">
        <v>7.9309000000000003</v>
      </c>
      <c r="H90" s="77">
        <v>18.236999999999998</v>
      </c>
      <c r="I90" s="174"/>
      <c r="J90" s="191">
        <f t="shared" si="26"/>
        <v>18.236999999999998</v>
      </c>
      <c r="K90" s="77">
        <v>4.8842999999999996</v>
      </c>
      <c r="L90" s="33">
        <v>7.5486000000000004</v>
      </c>
      <c r="M90" s="33"/>
      <c r="N90" s="33">
        <v>0.28910000000000002</v>
      </c>
      <c r="O90" s="33">
        <v>7.5200000000000003E-2</v>
      </c>
      <c r="P90" s="33">
        <v>1.2952999999999999</v>
      </c>
      <c r="Q90" s="175">
        <f t="shared" si="28"/>
        <v>42.677500000000002</v>
      </c>
      <c r="R90" s="27"/>
    </row>
    <row r="91" spans="1:18">
      <c r="A91" s="312"/>
      <c r="B91" s="313"/>
      <c r="C91" s="192" t="s">
        <v>13</v>
      </c>
      <c r="D91" s="53">
        <v>97.010998258675471</v>
      </c>
      <c r="E91" s="53">
        <v>2546.8150000000001</v>
      </c>
      <c r="F91" s="193">
        <f t="shared" si="24"/>
        <v>2643.8259982586756</v>
      </c>
      <c r="G91" s="78">
        <v>9766.5130000000008</v>
      </c>
      <c r="H91" s="78">
        <v>19743.922999999999</v>
      </c>
      <c r="I91" s="179"/>
      <c r="J91" s="193">
        <f t="shared" si="26"/>
        <v>19743.922999999999</v>
      </c>
      <c r="K91" s="78">
        <v>4448.3879999999999</v>
      </c>
      <c r="L91" s="54">
        <v>8663.1820000000007</v>
      </c>
      <c r="M91" s="54"/>
      <c r="N91" s="54">
        <v>318.92399999999998</v>
      </c>
      <c r="O91" s="54">
        <v>70.567999999999998</v>
      </c>
      <c r="P91" s="54">
        <f>1300.475*1.08</f>
        <v>1404.5129999999999</v>
      </c>
      <c r="Q91" s="180">
        <f t="shared" si="28"/>
        <v>47059.836998258674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24"/>
        <v>0</v>
      </c>
      <c r="G92" s="77"/>
      <c r="H92" s="77"/>
      <c r="I92" s="174"/>
      <c r="J92" s="191">
        <f t="shared" si="26"/>
        <v>0</v>
      </c>
      <c r="K92" s="77">
        <v>8.4149999999999991</v>
      </c>
      <c r="L92" s="33">
        <v>0.1</v>
      </c>
      <c r="M92" s="33"/>
      <c r="N92" s="33"/>
      <c r="O92" s="33"/>
      <c r="P92" s="33"/>
      <c r="Q92" s="175">
        <f t="shared" si="28"/>
        <v>8.5149999999999988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24"/>
        <v>0</v>
      </c>
      <c r="G93" s="78"/>
      <c r="H93" s="78"/>
      <c r="I93" s="179"/>
      <c r="J93" s="193">
        <f t="shared" si="26"/>
        <v>0</v>
      </c>
      <c r="K93" s="78">
        <v>749.77700000000004</v>
      </c>
      <c r="L93" s="54">
        <v>32.4</v>
      </c>
      <c r="M93" s="54"/>
      <c r="N93" s="54"/>
      <c r="O93" s="54"/>
      <c r="P93" s="54"/>
      <c r="Q93" s="180">
        <f t="shared" si="28"/>
        <v>782.17700000000002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24"/>
        <v>0</v>
      </c>
      <c r="G94" s="77"/>
      <c r="H94" s="77">
        <v>1.44E-2</v>
      </c>
      <c r="I94" s="174"/>
      <c r="J94" s="191">
        <f t="shared" si="26"/>
        <v>1.44E-2</v>
      </c>
      <c r="K94" s="77">
        <v>2.5000000000000001E-3</v>
      </c>
      <c r="L94" s="33">
        <v>6.9999999999999999E-4</v>
      </c>
      <c r="M94" s="33"/>
      <c r="N94" s="33"/>
      <c r="O94" s="33"/>
      <c r="P94" s="33"/>
      <c r="Q94" s="175">
        <f t="shared" si="28"/>
        <v>1.7599999999999998E-2</v>
      </c>
      <c r="R94" s="27"/>
    </row>
    <row r="95" spans="1:18">
      <c r="A95" s="312"/>
      <c r="B95" s="313"/>
      <c r="C95" s="192" t="s">
        <v>13</v>
      </c>
      <c r="D95" s="53"/>
      <c r="E95" s="53"/>
      <c r="F95" s="193">
        <f t="shared" si="24"/>
        <v>0</v>
      </c>
      <c r="G95" s="78"/>
      <c r="H95" s="78">
        <v>40.435000000000002</v>
      </c>
      <c r="I95" s="179"/>
      <c r="J95" s="193">
        <f t="shared" si="26"/>
        <v>40.435000000000002</v>
      </c>
      <c r="K95" s="78">
        <v>2.5059999999999998</v>
      </c>
      <c r="L95" s="54">
        <v>1.966</v>
      </c>
      <c r="M95" s="54"/>
      <c r="N95" s="54"/>
      <c r="O95" s="54"/>
      <c r="P95" s="54"/>
      <c r="Q95" s="180">
        <f t="shared" si="28"/>
        <v>44.907000000000004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0.47199999999999998</v>
      </c>
      <c r="F96" s="191">
        <f t="shared" si="24"/>
        <v>0.47199999999999998</v>
      </c>
      <c r="G96" s="77">
        <v>0</v>
      </c>
      <c r="H96" s="77">
        <v>0.85</v>
      </c>
      <c r="I96" s="174"/>
      <c r="J96" s="191">
        <f t="shared" si="26"/>
        <v>0.85</v>
      </c>
      <c r="K96" s="77"/>
      <c r="L96" s="33"/>
      <c r="M96" s="33"/>
      <c r="N96" s="33"/>
      <c r="O96" s="33"/>
      <c r="P96" s="33"/>
      <c r="Q96" s="175">
        <f t="shared" si="28"/>
        <v>1.3220000000000001</v>
      </c>
      <c r="R96" s="27"/>
    </row>
    <row r="97" spans="1:18">
      <c r="A97" s="312"/>
      <c r="B97" s="313"/>
      <c r="C97" s="192" t="s">
        <v>13</v>
      </c>
      <c r="D97" s="53"/>
      <c r="E97" s="53">
        <v>532.11599999999999</v>
      </c>
      <c r="F97" s="193">
        <f t="shared" si="24"/>
        <v>532.11599999999999</v>
      </c>
      <c r="G97" s="78">
        <v>0.84099999999999997</v>
      </c>
      <c r="H97" s="78">
        <v>1279.4760000000001</v>
      </c>
      <c r="I97" s="179"/>
      <c r="J97" s="193">
        <f t="shared" si="26"/>
        <v>1279.4760000000001</v>
      </c>
      <c r="K97" s="78"/>
      <c r="L97" s="54"/>
      <c r="M97" s="54"/>
      <c r="N97" s="54"/>
      <c r="O97" s="54"/>
      <c r="P97" s="54"/>
      <c r="Q97" s="180">
        <f t="shared" si="28"/>
        <v>1812.433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24"/>
        <v>0</v>
      </c>
      <c r="G98" s="77"/>
      <c r="H98" s="77"/>
      <c r="I98" s="174"/>
      <c r="J98" s="191">
        <f t="shared" si="26"/>
        <v>0</v>
      </c>
      <c r="K98" s="77"/>
      <c r="L98" s="33"/>
      <c r="M98" s="33"/>
      <c r="N98" s="33"/>
      <c r="O98" s="33"/>
      <c r="P98" s="33"/>
      <c r="Q98" s="175">
        <f t="shared" si="28"/>
        <v>0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24"/>
        <v>0</v>
      </c>
      <c r="G99" s="78"/>
      <c r="H99" s="78"/>
      <c r="I99" s="179"/>
      <c r="J99" s="193">
        <f t="shared" si="26"/>
        <v>0</v>
      </c>
      <c r="K99" s="78"/>
      <c r="L99" s="54"/>
      <c r="M99" s="54"/>
      <c r="N99" s="54"/>
      <c r="O99" s="54"/>
      <c r="P99" s="54"/>
      <c r="Q99" s="180">
        <f t="shared" si="28"/>
        <v>0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24"/>
        <v>0</v>
      </c>
      <c r="G100" s="77"/>
      <c r="H100" s="77"/>
      <c r="I100" s="174"/>
      <c r="J100" s="191">
        <f t="shared" si="26"/>
        <v>0</v>
      </c>
      <c r="K100" s="77"/>
      <c r="L100" s="33"/>
      <c r="M100" s="33"/>
      <c r="N100" s="33"/>
      <c r="O100" s="33"/>
      <c r="P100" s="33"/>
      <c r="Q100" s="175">
        <f t="shared" si="28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24"/>
        <v>0</v>
      </c>
      <c r="G101" s="78"/>
      <c r="H101" s="78"/>
      <c r="I101" s="179"/>
      <c r="J101" s="193">
        <f t="shared" si="26"/>
        <v>0</v>
      </c>
      <c r="K101" s="78"/>
      <c r="L101" s="54"/>
      <c r="M101" s="54"/>
      <c r="N101" s="54"/>
      <c r="O101" s="54"/>
      <c r="P101" s="54"/>
      <c r="Q101" s="180">
        <f t="shared" si="28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3.0194000000000001</v>
      </c>
      <c r="E102" s="52">
        <v>973.30150000000003</v>
      </c>
      <c r="F102" s="191">
        <f t="shared" si="24"/>
        <v>976.32090000000005</v>
      </c>
      <c r="G102" s="77">
        <v>13.5975</v>
      </c>
      <c r="H102" s="77">
        <v>163.32830000000001</v>
      </c>
      <c r="I102" s="174"/>
      <c r="J102" s="191">
        <f t="shared" si="26"/>
        <v>163.32830000000001</v>
      </c>
      <c r="K102" s="77">
        <v>16.314399999999999</v>
      </c>
      <c r="L102" s="33">
        <v>9.1514000000000006</v>
      </c>
      <c r="M102" s="33"/>
      <c r="N102" s="33">
        <v>34.51</v>
      </c>
      <c r="O102" s="33">
        <v>2.2509000000000001</v>
      </c>
      <c r="P102" s="33">
        <v>2.5529000000000002</v>
      </c>
      <c r="Q102" s="175">
        <f t="shared" si="28"/>
        <v>1218.0263</v>
      </c>
      <c r="R102" s="27"/>
    </row>
    <row r="103" spans="1:18">
      <c r="A103" s="312"/>
      <c r="B103" s="313"/>
      <c r="C103" s="192" t="s">
        <v>13</v>
      </c>
      <c r="D103" s="53">
        <v>9653.064666729766</v>
      </c>
      <c r="E103" s="53">
        <v>181915.65</v>
      </c>
      <c r="F103" s="193">
        <f t="shared" si="24"/>
        <v>191568.71466672976</v>
      </c>
      <c r="G103" s="78">
        <v>6292.2619999999997</v>
      </c>
      <c r="H103" s="78">
        <v>50695.561000000002</v>
      </c>
      <c r="I103" s="179"/>
      <c r="J103" s="193">
        <f t="shared" si="26"/>
        <v>50695.561000000002</v>
      </c>
      <c r="K103" s="78">
        <v>3495.5239999999999</v>
      </c>
      <c r="L103" s="54">
        <v>2672.7249999999999</v>
      </c>
      <c r="M103" s="54"/>
      <c r="N103" s="54">
        <v>17205.636999999999</v>
      </c>
      <c r="O103" s="54">
        <v>2458.5940000000001</v>
      </c>
      <c r="P103" s="54">
        <f>1421.646*1.08</f>
        <v>1535.3776800000001</v>
      </c>
      <c r="Q103" s="180">
        <f t="shared" si="28"/>
        <v>275924.39534672973</v>
      </c>
      <c r="R103" s="27"/>
    </row>
    <row r="104" spans="1:18">
      <c r="A104" s="314" t="s">
        <v>71</v>
      </c>
      <c r="B104" s="315"/>
      <c r="C104" s="32" t="s">
        <v>11</v>
      </c>
      <c r="D104" s="33">
        <f t="shared" ref="D104:D105" si="34">D9+D11+D23+D29+D37+D39+D41+D43+D45+D47+D49+D51+D53+D59+D76+D88+D90+D92+D94+D96+D98+D100+D102</f>
        <v>362.18349999999998</v>
      </c>
      <c r="E104" s="33">
        <f t="shared" ref="E104:E105" si="35">+E9+E11+E23+E29+E37+E39+E41+E43+E45+E47+E49+E51+E53+E59+E76+E88+E90+E92+E94+E96+E98+E100+E102</f>
        <v>1354.3542</v>
      </c>
      <c r="F104" s="191">
        <f t="shared" si="24"/>
        <v>1716.5376999999999</v>
      </c>
      <c r="G104" s="49">
        <f t="shared" ref="G104:H105" si="36">+G9+G11+G23+G29+G37+G39+G41+G43+G45+G47+G49+G51+G53+G59+G76+G88+G90+G92+G94+G96+G98+G100+G102</f>
        <v>5776.7830000000004</v>
      </c>
      <c r="H104" s="49">
        <f t="shared" si="36"/>
        <v>6734.1181999999999</v>
      </c>
      <c r="I104" s="50"/>
      <c r="J104" s="191">
        <f t="shared" si="26"/>
        <v>6734.1181999999999</v>
      </c>
      <c r="K104" s="49">
        <f t="shared" ref="K104:P105" si="37">+K9+K11+K23+K29+K37+K39+K41+K43+K45+K47+K49+K51+K53+K59+K76+K88+K90+K92+K94+K96+K98+K100+K102</f>
        <v>2423.7216000000012</v>
      </c>
      <c r="L104" s="33">
        <f t="shared" si="37"/>
        <v>96.73984999999999</v>
      </c>
      <c r="M104" s="33">
        <f t="shared" si="37"/>
        <v>8.6400000000000005E-2</v>
      </c>
      <c r="N104" s="33">
        <f t="shared" si="37"/>
        <v>68.16579999999999</v>
      </c>
      <c r="O104" s="33">
        <f t="shared" si="37"/>
        <v>12.2691</v>
      </c>
      <c r="P104" s="33">
        <f t="shared" si="37"/>
        <v>23.8003</v>
      </c>
      <c r="Q104" s="175">
        <f t="shared" si="28"/>
        <v>16852.221950000003</v>
      </c>
      <c r="R104" s="27"/>
    </row>
    <row r="105" spans="1:18">
      <c r="A105" s="316"/>
      <c r="B105" s="317"/>
      <c r="C105" s="192" t="s">
        <v>13</v>
      </c>
      <c r="D105" s="54">
        <f t="shared" si="34"/>
        <v>247277.48028142756</v>
      </c>
      <c r="E105" s="54">
        <f t="shared" si="35"/>
        <v>351622.79500000004</v>
      </c>
      <c r="F105" s="193">
        <f t="shared" si="24"/>
        <v>598900.27528142766</v>
      </c>
      <c r="G105" s="68">
        <f t="shared" si="36"/>
        <v>2208027.1100000003</v>
      </c>
      <c r="H105" s="68">
        <f t="shared" si="36"/>
        <v>1379249.1900000004</v>
      </c>
      <c r="I105" s="63"/>
      <c r="J105" s="193">
        <f t="shared" si="26"/>
        <v>1379249.1900000004</v>
      </c>
      <c r="K105" s="68">
        <f t="shared" si="37"/>
        <v>625231.15500000003</v>
      </c>
      <c r="L105" s="54">
        <f t="shared" si="37"/>
        <v>48613.483999999997</v>
      </c>
      <c r="M105" s="54">
        <f t="shared" si="37"/>
        <v>98.992800000000003</v>
      </c>
      <c r="N105" s="54">
        <f t="shared" si="37"/>
        <v>45365.732000000004</v>
      </c>
      <c r="O105" s="54">
        <f t="shared" si="37"/>
        <v>13058.924999999999</v>
      </c>
      <c r="P105" s="54">
        <f t="shared" si="37"/>
        <v>22880.427480000002</v>
      </c>
      <c r="Q105" s="180">
        <f t="shared" si="28"/>
        <v>4941425.2915614285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24"/>
        <v>0</v>
      </c>
      <c r="G106" s="77"/>
      <c r="H106" s="77">
        <v>0.38059999999999999</v>
      </c>
      <c r="I106" s="174"/>
      <c r="J106" s="191">
        <f t="shared" si="26"/>
        <v>0.38059999999999999</v>
      </c>
      <c r="K106" s="77"/>
      <c r="L106" s="33"/>
      <c r="M106" s="33"/>
      <c r="N106" s="33"/>
      <c r="O106" s="33"/>
      <c r="P106" s="33"/>
      <c r="Q106" s="175">
        <f t="shared" si="28"/>
        <v>0.38059999999999999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24"/>
        <v>0</v>
      </c>
      <c r="G107" s="78"/>
      <c r="H107" s="78">
        <v>1604.4639999999999</v>
      </c>
      <c r="I107" s="179"/>
      <c r="J107" s="193">
        <f t="shared" si="26"/>
        <v>1604.4639999999999</v>
      </c>
      <c r="K107" s="78"/>
      <c r="L107" s="54"/>
      <c r="M107" s="54"/>
      <c r="N107" s="54"/>
      <c r="O107" s="54"/>
      <c r="P107" s="54"/>
      <c r="Q107" s="180">
        <f t="shared" si="28"/>
        <v>1604.4639999999999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0.18279999999999999</v>
      </c>
      <c r="E108" s="52">
        <v>0.15</v>
      </c>
      <c r="F108" s="191">
        <f t="shared" si="24"/>
        <v>0.33279999999999998</v>
      </c>
      <c r="G108" s="77">
        <v>3.8593000000000002</v>
      </c>
      <c r="H108" s="77">
        <v>18.233000000000001</v>
      </c>
      <c r="I108" s="174"/>
      <c r="J108" s="191">
        <f t="shared" si="26"/>
        <v>18.233000000000001</v>
      </c>
      <c r="K108" s="77">
        <v>10.7735</v>
      </c>
      <c r="L108" s="33">
        <v>19.8552</v>
      </c>
      <c r="M108" s="33"/>
      <c r="N108" s="33">
        <v>1.1599999999999999E-2</v>
      </c>
      <c r="O108" s="33">
        <v>0.9264</v>
      </c>
      <c r="P108" s="33">
        <v>2.5792000000000002</v>
      </c>
      <c r="Q108" s="175">
        <f t="shared" si="28"/>
        <v>56.570999999999998</v>
      </c>
      <c r="R108" s="27"/>
    </row>
    <row r="109" spans="1:18">
      <c r="A109" s="176" t="s">
        <v>0</v>
      </c>
      <c r="B109" s="307"/>
      <c r="C109" s="192" t="s">
        <v>13</v>
      </c>
      <c r="D109" s="53">
        <v>149.52059731614054</v>
      </c>
      <c r="E109" s="53">
        <v>165.45599999999999</v>
      </c>
      <c r="F109" s="193">
        <f t="shared" si="24"/>
        <v>314.97659731614056</v>
      </c>
      <c r="G109" s="78">
        <v>3236.4140000000002</v>
      </c>
      <c r="H109" s="78">
        <v>9075.3340000000007</v>
      </c>
      <c r="I109" s="179"/>
      <c r="J109" s="193">
        <f t="shared" si="26"/>
        <v>9075.3340000000007</v>
      </c>
      <c r="K109" s="78">
        <v>5185.2470000000003</v>
      </c>
      <c r="L109" s="54">
        <v>13632.725</v>
      </c>
      <c r="M109" s="54"/>
      <c r="N109" s="54">
        <v>4.1580000000000004</v>
      </c>
      <c r="O109" s="54">
        <v>526.17499999999995</v>
      </c>
      <c r="P109" s="54">
        <f>1386.77*1.08</f>
        <v>1497.7116000000001</v>
      </c>
      <c r="Q109" s="180">
        <f t="shared" si="28"/>
        <v>33472.741197316143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0.02</v>
      </c>
      <c r="E110" s="52">
        <v>12.907</v>
      </c>
      <c r="F110" s="191">
        <f t="shared" si="24"/>
        <v>12.927</v>
      </c>
      <c r="G110" s="77">
        <v>10.4335</v>
      </c>
      <c r="H110" s="77">
        <v>37.730400000000003</v>
      </c>
      <c r="I110" s="174"/>
      <c r="J110" s="191">
        <f t="shared" si="26"/>
        <v>37.730400000000003</v>
      </c>
      <c r="K110" s="77">
        <v>29.8535</v>
      </c>
      <c r="L110" s="33">
        <v>0.93810000000000004</v>
      </c>
      <c r="M110" s="33"/>
      <c r="N110" s="33">
        <v>7.1800000000000003E-2</v>
      </c>
      <c r="O110" s="33"/>
      <c r="P110" s="33"/>
      <c r="Q110" s="175">
        <f t="shared" si="28"/>
        <v>91.954300000000003</v>
      </c>
      <c r="R110" s="27"/>
    </row>
    <row r="111" spans="1:18">
      <c r="A111" s="176"/>
      <c r="B111" s="307"/>
      <c r="C111" s="192" t="s">
        <v>13</v>
      </c>
      <c r="D111" s="53">
        <v>34.559999379656162</v>
      </c>
      <c r="E111" s="53">
        <v>2495.1019999999999</v>
      </c>
      <c r="F111" s="193">
        <f t="shared" si="24"/>
        <v>2529.6619993796562</v>
      </c>
      <c r="G111" s="78">
        <v>5204.1610000000001</v>
      </c>
      <c r="H111" s="78">
        <v>9904.5889999999999</v>
      </c>
      <c r="I111" s="179"/>
      <c r="J111" s="193">
        <f t="shared" si="26"/>
        <v>9904.5889999999999</v>
      </c>
      <c r="K111" s="78">
        <v>8769.5490000000009</v>
      </c>
      <c r="L111" s="54">
        <v>337.88799999999998</v>
      </c>
      <c r="M111" s="54"/>
      <c r="N111" s="54">
        <v>14.493</v>
      </c>
      <c r="O111" s="54"/>
      <c r="P111" s="54"/>
      <c r="Q111" s="180">
        <f t="shared" si="28"/>
        <v>26760.341999379652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3.0099999999999998E-2</v>
      </c>
      <c r="F112" s="191">
        <f t="shared" si="24"/>
        <v>3.0099999999999998E-2</v>
      </c>
      <c r="G112" s="77">
        <v>3.6200000000000003E-2</v>
      </c>
      <c r="H112" s="77">
        <v>0.26379999999999998</v>
      </c>
      <c r="I112" s="174"/>
      <c r="J112" s="191">
        <f t="shared" si="26"/>
        <v>0.26379999999999998</v>
      </c>
      <c r="K112" s="77">
        <v>7.4999999999999997E-3</v>
      </c>
      <c r="L112" s="33">
        <v>8.8000000000000005E-3</v>
      </c>
      <c r="M112" s="33"/>
      <c r="N112" s="33">
        <v>1.5E-3</v>
      </c>
      <c r="O112" s="33"/>
      <c r="P112" s="33">
        <v>3.6999999999999998E-2</v>
      </c>
      <c r="Q112" s="175">
        <f t="shared" si="28"/>
        <v>0.38489999999999991</v>
      </c>
      <c r="R112" s="27"/>
    </row>
    <row r="113" spans="1:18">
      <c r="A113" s="176"/>
      <c r="B113" s="307"/>
      <c r="C113" s="192" t="s">
        <v>13</v>
      </c>
      <c r="D113" s="53"/>
      <c r="E113" s="53">
        <v>45.996000000000002</v>
      </c>
      <c r="F113" s="193">
        <f t="shared" si="24"/>
        <v>45.996000000000002</v>
      </c>
      <c r="G113" s="78">
        <v>35.853999999999999</v>
      </c>
      <c r="H113" s="78">
        <v>628.98199999999997</v>
      </c>
      <c r="I113" s="179"/>
      <c r="J113" s="193">
        <f t="shared" si="26"/>
        <v>628.98199999999997</v>
      </c>
      <c r="K113" s="78">
        <v>8.1</v>
      </c>
      <c r="L113" s="54">
        <v>5.476</v>
      </c>
      <c r="M113" s="54"/>
      <c r="N113" s="54">
        <v>1.296</v>
      </c>
      <c r="O113" s="54"/>
      <c r="P113" s="54">
        <f>47.52*1.08</f>
        <v>51.321600000000004</v>
      </c>
      <c r="Q113" s="180">
        <f t="shared" si="28"/>
        <v>777.02560000000005</v>
      </c>
      <c r="R113" s="27"/>
    </row>
    <row r="114" spans="1:18">
      <c r="A114" s="176"/>
      <c r="B114" s="306" t="s">
        <v>78</v>
      </c>
      <c r="C114" s="32" t="s">
        <v>11</v>
      </c>
      <c r="D114" s="52">
        <v>0.64180000000000004</v>
      </c>
      <c r="E114" s="52">
        <v>0.55400000000000005</v>
      </c>
      <c r="F114" s="191">
        <f t="shared" si="24"/>
        <v>1.1958000000000002</v>
      </c>
      <c r="G114" s="77">
        <v>0.13200000000000001</v>
      </c>
      <c r="H114" s="77">
        <v>1.0509999999999999</v>
      </c>
      <c r="I114" s="174"/>
      <c r="J114" s="191">
        <f t="shared" si="26"/>
        <v>1.0509999999999999</v>
      </c>
      <c r="K114" s="77">
        <v>6.2799999999999995E-2</v>
      </c>
      <c r="L114" s="33">
        <v>0.8266</v>
      </c>
      <c r="M114" s="33"/>
      <c r="N114" s="33">
        <v>0.4577</v>
      </c>
      <c r="O114" s="33">
        <v>0.12139999999999999</v>
      </c>
      <c r="P114" s="33">
        <v>5.1388999999999996</v>
      </c>
      <c r="Q114" s="175">
        <f t="shared" si="28"/>
        <v>8.9862000000000002</v>
      </c>
      <c r="R114" s="27"/>
    </row>
    <row r="115" spans="1:18">
      <c r="A115" s="176"/>
      <c r="B115" s="307"/>
      <c r="C115" s="192" t="s">
        <v>13</v>
      </c>
      <c r="D115" s="53">
        <v>267.13691520495536</v>
      </c>
      <c r="E115" s="53">
        <v>251.083</v>
      </c>
      <c r="F115" s="193">
        <f t="shared" si="24"/>
        <v>518.21991520495533</v>
      </c>
      <c r="G115" s="78">
        <v>114.386</v>
      </c>
      <c r="H115" s="78">
        <v>1474.2</v>
      </c>
      <c r="I115" s="179"/>
      <c r="J115" s="193">
        <f t="shared" si="26"/>
        <v>1474.2</v>
      </c>
      <c r="K115" s="78">
        <v>110.52200000000001</v>
      </c>
      <c r="L115" s="54">
        <v>747.99800000000005</v>
      </c>
      <c r="M115" s="54"/>
      <c r="N115" s="54">
        <v>89.161000000000001</v>
      </c>
      <c r="O115" s="54">
        <v>54.366999999999997</v>
      </c>
      <c r="P115" s="54">
        <f>1606.35*1.08</f>
        <v>1734.8579999999999</v>
      </c>
      <c r="Q115" s="180">
        <f t="shared" si="28"/>
        <v>4843.7119152049554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24"/>
        <v>0</v>
      </c>
      <c r="G116" s="77"/>
      <c r="H116" s="77"/>
      <c r="I116" s="174"/>
      <c r="J116" s="191">
        <f t="shared" si="26"/>
        <v>0</v>
      </c>
      <c r="K116" s="77"/>
      <c r="L116" s="33"/>
      <c r="M116" s="33"/>
      <c r="N116" s="33"/>
      <c r="O116" s="33"/>
      <c r="P116" s="33"/>
      <c r="Q116" s="175">
        <f t="shared" si="28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24"/>
        <v>0</v>
      </c>
      <c r="G117" s="78"/>
      <c r="H117" s="78"/>
      <c r="I117" s="179"/>
      <c r="J117" s="193">
        <f t="shared" si="26"/>
        <v>0</v>
      </c>
      <c r="K117" s="78"/>
      <c r="L117" s="54"/>
      <c r="M117" s="54"/>
      <c r="N117" s="54"/>
      <c r="O117" s="54"/>
      <c r="P117" s="54"/>
      <c r="Q117" s="180">
        <f t="shared" si="28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1.9E-2</v>
      </c>
      <c r="E118" s="52">
        <v>2.5700000000000001E-2</v>
      </c>
      <c r="F118" s="191">
        <f t="shared" si="24"/>
        <v>4.4700000000000004E-2</v>
      </c>
      <c r="G118" s="77"/>
      <c r="H118" s="77"/>
      <c r="I118" s="174"/>
      <c r="J118" s="191">
        <f t="shared" si="26"/>
        <v>0</v>
      </c>
      <c r="K118" s="77"/>
      <c r="L118" s="33"/>
      <c r="M118" s="33"/>
      <c r="N118" s="33"/>
      <c r="O118" s="33"/>
      <c r="P118" s="33"/>
      <c r="Q118" s="175">
        <f t="shared" si="28"/>
        <v>4.4700000000000004E-2</v>
      </c>
      <c r="R118" s="27"/>
    </row>
    <row r="119" spans="1:18">
      <c r="A119" s="176"/>
      <c r="B119" s="307"/>
      <c r="C119" s="192" t="s">
        <v>13</v>
      </c>
      <c r="D119" s="53">
        <v>9.7739998245590094</v>
      </c>
      <c r="E119" s="53">
        <v>12.377000000000001</v>
      </c>
      <c r="F119" s="193">
        <f t="shared" si="24"/>
        <v>22.150999824559008</v>
      </c>
      <c r="G119" s="78"/>
      <c r="H119" s="78"/>
      <c r="I119" s="179"/>
      <c r="J119" s="193">
        <f t="shared" si="26"/>
        <v>0</v>
      </c>
      <c r="K119" s="78"/>
      <c r="L119" s="54"/>
      <c r="M119" s="54"/>
      <c r="N119" s="54"/>
      <c r="O119" s="54"/>
      <c r="P119" s="54"/>
      <c r="Q119" s="180">
        <f t="shared" si="28"/>
        <v>22.150999824559008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1.64</v>
      </c>
      <c r="E120" s="52">
        <v>1.56</v>
      </c>
      <c r="F120" s="191">
        <f t="shared" si="24"/>
        <v>3.2</v>
      </c>
      <c r="G120" s="77"/>
      <c r="H120" s="77"/>
      <c r="I120" s="174"/>
      <c r="J120" s="191">
        <f t="shared" si="26"/>
        <v>0</v>
      </c>
      <c r="K120" s="77"/>
      <c r="L120" s="33"/>
      <c r="M120" s="33"/>
      <c r="N120" s="33"/>
      <c r="O120" s="33"/>
      <c r="P120" s="33"/>
      <c r="Q120" s="175">
        <f t="shared" si="28"/>
        <v>3.2</v>
      </c>
      <c r="R120" s="27"/>
    </row>
    <row r="121" spans="1:18">
      <c r="A121" s="176"/>
      <c r="B121" s="307"/>
      <c r="C121" s="192" t="s">
        <v>13</v>
      </c>
      <c r="D121" s="53">
        <v>970.70398257609247</v>
      </c>
      <c r="E121" s="53">
        <v>659.34</v>
      </c>
      <c r="F121" s="193">
        <f t="shared" si="24"/>
        <v>1630.0439825760925</v>
      </c>
      <c r="G121" s="78"/>
      <c r="H121" s="78"/>
      <c r="I121" s="179"/>
      <c r="J121" s="193">
        <f t="shared" si="26"/>
        <v>0</v>
      </c>
      <c r="K121" s="78"/>
      <c r="L121" s="54"/>
      <c r="M121" s="54"/>
      <c r="N121" s="54"/>
      <c r="O121" s="54"/>
      <c r="P121" s="54"/>
      <c r="Q121" s="180">
        <f t="shared" si="28"/>
        <v>1630.0439825760925</v>
      </c>
      <c r="R121" s="27"/>
    </row>
    <row r="122" spans="1:18">
      <c r="A122" s="176"/>
      <c r="B122" s="306" t="s">
        <v>84</v>
      </c>
      <c r="C122" s="32" t="s">
        <v>11</v>
      </c>
      <c r="D122" s="52">
        <v>6.8402000000000003</v>
      </c>
      <c r="E122" s="52">
        <v>0.41099999999999998</v>
      </c>
      <c r="F122" s="191">
        <f t="shared" si="24"/>
        <v>7.2511999999999999</v>
      </c>
      <c r="G122" s="77">
        <v>2.2875000000000001</v>
      </c>
      <c r="H122" s="77">
        <v>7.3526999999999996</v>
      </c>
      <c r="I122" s="174"/>
      <c r="J122" s="191">
        <f t="shared" si="26"/>
        <v>7.3526999999999996</v>
      </c>
      <c r="K122" s="77"/>
      <c r="L122" s="33">
        <v>2.516</v>
      </c>
      <c r="M122" s="33"/>
      <c r="N122" s="33"/>
      <c r="O122" s="33"/>
      <c r="P122" s="33"/>
      <c r="Q122" s="175">
        <f t="shared" si="28"/>
        <v>19.407400000000003</v>
      </c>
      <c r="R122" s="27"/>
    </row>
    <row r="123" spans="1:18">
      <c r="A123" s="176"/>
      <c r="B123" s="307"/>
      <c r="C123" s="192" t="s">
        <v>13</v>
      </c>
      <c r="D123" s="53">
        <v>5072.3603089523294</v>
      </c>
      <c r="E123" s="53">
        <v>355.10399999999998</v>
      </c>
      <c r="F123" s="193">
        <f t="shared" si="24"/>
        <v>5427.4643089523297</v>
      </c>
      <c r="G123" s="78">
        <v>3203.4989999999998</v>
      </c>
      <c r="H123" s="78">
        <v>3393.9549999999999</v>
      </c>
      <c r="I123" s="179"/>
      <c r="J123" s="193">
        <f t="shared" si="26"/>
        <v>3393.9549999999999</v>
      </c>
      <c r="K123" s="78"/>
      <c r="L123" s="54">
        <v>1478.519</v>
      </c>
      <c r="M123" s="54"/>
      <c r="N123" s="54"/>
      <c r="O123" s="54"/>
      <c r="P123" s="54"/>
      <c r="Q123" s="180">
        <f t="shared" si="28"/>
        <v>13503.437308952331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1.6448</v>
      </c>
      <c r="E124" s="52">
        <v>3.9399999999999998E-2</v>
      </c>
      <c r="F124" s="191">
        <f t="shared" si="24"/>
        <v>1.6842000000000001</v>
      </c>
      <c r="G124" s="77">
        <v>0.1812</v>
      </c>
      <c r="H124" s="77">
        <v>13.234500000000001</v>
      </c>
      <c r="I124" s="174"/>
      <c r="J124" s="191">
        <f t="shared" si="26"/>
        <v>13.234500000000001</v>
      </c>
      <c r="K124" s="77">
        <v>3.0449999999999999</v>
      </c>
      <c r="L124" s="33">
        <v>10.414899999999999</v>
      </c>
      <c r="M124" s="33"/>
      <c r="N124" s="33"/>
      <c r="O124" s="33">
        <v>1.2E-2</v>
      </c>
      <c r="P124" s="33">
        <v>7.4999999999999997E-3</v>
      </c>
      <c r="Q124" s="175">
        <f t="shared" si="28"/>
        <v>28.5793</v>
      </c>
      <c r="R124" s="27"/>
    </row>
    <row r="125" spans="1:18">
      <c r="A125" s="27"/>
      <c r="B125" s="307"/>
      <c r="C125" s="192" t="s">
        <v>13</v>
      </c>
      <c r="D125" s="53">
        <v>3587.1389356117024</v>
      </c>
      <c r="E125" s="53">
        <v>22.091000000000001</v>
      </c>
      <c r="F125" s="193">
        <f t="shared" si="24"/>
        <v>3609.2299356117023</v>
      </c>
      <c r="G125" s="78">
        <v>54.905999999999999</v>
      </c>
      <c r="H125" s="78">
        <v>5127.7960000000003</v>
      </c>
      <c r="I125" s="179"/>
      <c r="J125" s="193">
        <f t="shared" si="26"/>
        <v>5127.7960000000003</v>
      </c>
      <c r="K125" s="78">
        <v>926.04600000000005</v>
      </c>
      <c r="L125" s="54">
        <v>2504.5749999999998</v>
      </c>
      <c r="M125" s="54"/>
      <c r="N125" s="54"/>
      <c r="O125" s="54">
        <v>1.296</v>
      </c>
      <c r="P125" s="54">
        <f>9.75*1.08</f>
        <v>10.530000000000001</v>
      </c>
      <c r="Q125" s="180">
        <f t="shared" si="28"/>
        <v>12234.378935611705</v>
      </c>
      <c r="R125" s="27"/>
    </row>
    <row r="126" spans="1:18">
      <c r="A126" s="27"/>
      <c r="B126" s="46" t="s">
        <v>15</v>
      </c>
      <c r="C126" s="32" t="s">
        <v>11</v>
      </c>
      <c r="D126" s="52">
        <v>3.1615000000000002</v>
      </c>
      <c r="E126" s="52"/>
      <c r="F126" s="191">
        <f t="shared" si="24"/>
        <v>3.1615000000000002</v>
      </c>
      <c r="G126" s="77">
        <v>5.7930000000000001</v>
      </c>
      <c r="H126" s="77">
        <v>5.8874000000000004</v>
      </c>
      <c r="I126" s="174"/>
      <c r="J126" s="191">
        <f t="shared" si="26"/>
        <v>5.8874000000000004</v>
      </c>
      <c r="K126" s="77"/>
      <c r="L126" s="33">
        <v>7.98</v>
      </c>
      <c r="M126" s="33"/>
      <c r="N126" s="33"/>
      <c r="O126" s="33"/>
      <c r="P126" s="33">
        <v>0.4204</v>
      </c>
      <c r="Q126" s="175">
        <f t="shared" si="28"/>
        <v>23.2423</v>
      </c>
      <c r="R126" s="27"/>
    </row>
    <row r="127" spans="1:18">
      <c r="A127" s="27"/>
      <c r="B127" s="177" t="s">
        <v>86</v>
      </c>
      <c r="C127" s="192" t="s">
        <v>13</v>
      </c>
      <c r="D127" s="53">
        <v>1130.5439797070021</v>
      </c>
      <c r="E127" s="53"/>
      <c r="F127" s="193">
        <f t="shared" si="24"/>
        <v>1130.5439797070021</v>
      </c>
      <c r="G127" s="78">
        <v>1638.52</v>
      </c>
      <c r="H127" s="78">
        <v>5753.7439999999997</v>
      </c>
      <c r="I127" s="179"/>
      <c r="J127" s="193">
        <f t="shared" si="26"/>
        <v>5753.7439999999997</v>
      </c>
      <c r="K127" s="78"/>
      <c r="L127" s="54">
        <v>1136.8150000000001</v>
      </c>
      <c r="M127" s="54"/>
      <c r="N127" s="54"/>
      <c r="O127" s="54"/>
      <c r="P127" s="54">
        <f>432.82*1.08</f>
        <v>467.44560000000001</v>
      </c>
      <c r="Q127" s="180">
        <f t="shared" si="28"/>
        <v>10127.068579707004</v>
      </c>
      <c r="R127" s="27"/>
    </row>
    <row r="128" spans="1:18">
      <c r="A128" s="27"/>
      <c r="B128" s="308" t="s">
        <v>19</v>
      </c>
      <c r="C128" s="32" t="s">
        <v>11</v>
      </c>
      <c r="D128" s="33">
        <f t="shared" ref="D128:D129" si="38">D106+D108+D110+D112+D114+D116+D118+D120+D122+D124+D126</f>
        <v>14.1501</v>
      </c>
      <c r="E128" s="33">
        <f t="shared" ref="E128:E129" si="39">+E106+E108+E110+E112+E114+E116+E118+E120+E122+E124+E126</f>
        <v>15.677200000000001</v>
      </c>
      <c r="F128" s="191">
        <f t="shared" si="24"/>
        <v>29.827300000000001</v>
      </c>
      <c r="G128" s="49">
        <f t="shared" ref="G128:G129" si="40">+G106+G108+G110+G112+G114+G116+G118+G120+G122+G124+G126</f>
        <v>22.7227</v>
      </c>
      <c r="H128" s="49">
        <f>+H106+H108+H110+H112+H114+H116+H118+H120+H122+H124+H126</f>
        <v>84.133400000000009</v>
      </c>
      <c r="I128" s="50"/>
      <c r="J128" s="191">
        <f t="shared" si="26"/>
        <v>84.133400000000009</v>
      </c>
      <c r="K128" s="49">
        <f t="shared" ref="K128:L129" si="41">+K106+K108+K110+K112+K114+K116+K118+K120+K122+K124+K126</f>
        <v>43.742300000000007</v>
      </c>
      <c r="L128" s="33">
        <f t="shared" si="41"/>
        <v>42.539600000000007</v>
      </c>
      <c r="M128" s="33"/>
      <c r="N128" s="33">
        <f t="shared" ref="N128:P129" si="42">+N106+N108+N110+N112+N114+N116+N118+N120+N122+N124+N126</f>
        <v>0.54259999999999997</v>
      </c>
      <c r="O128" s="33">
        <f t="shared" si="42"/>
        <v>1.0598000000000001</v>
      </c>
      <c r="P128" s="55">
        <f t="shared" si="42"/>
        <v>8.1829999999999998</v>
      </c>
      <c r="Q128" s="175">
        <f t="shared" si="28"/>
        <v>232.75069999999999</v>
      </c>
      <c r="R128" s="27"/>
    </row>
    <row r="129" spans="1:18">
      <c r="A129" s="183"/>
      <c r="B129" s="309"/>
      <c r="C129" s="192" t="s">
        <v>13</v>
      </c>
      <c r="D129" s="54">
        <f t="shared" si="38"/>
        <v>11221.738718572436</v>
      </c>
      <c r="E129" s="54">
        <f t="shared" si="39"/>
        <v>4006.549</v>
      </c>
      <c r="F129" s="193">
        <f t="shared" si="24"/>
        <v>15228.287718572436</v>
      </c>
      <c r="G129" s="68">
        <f t="shared" si="40"/>
        <v>13487.740000000002</v>
      </c>
      <c r="H129" s="68">
        <f>+H107+H109+H111+H113+H115+H117+H119+H121+H123+H125+H127</f>
        <v>36963.064000000006</v>
      </c>
      <c r="I129" s="63"/>
      <c r="J129" s="193">
        <f t="shared" si="26"/>
        <v>36963.064000000006</v>
      </c>
      <c r="K129" s="68">
        <f t="shared" si="41"/>
        <v>14999.464000000004</v>
      </c>
      <c r="L129" s="54">
        <f t="shared" si="41"/>
        <v>19843.995999999999</v>
      </c>
      <c r="M129" s="54"/>
      <c r="N129" s="54">
        <f t="shared" si="42"/>
        <v>109.108</v>
      </c>
      <c r="O129" s="54">
        <f t="shared" si="42"/>
        <v>581.83799999999997</v>
      </c>
      <c r="P129" s="54">
        <f t="shared" si="42"/>
        <v>3761.8668000000002</v>
      </c>
      <c r="Q129" s="180">
        <f t="shared" si="28"/>
        <v>104975.36451857245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24"/>
        <v>0</v>
      </c>
      <c r="G130" s="77"/>
      <c r="H130" s="77"/>
      <c r="I130" s="174"/>
      <c r="J130" s="191">
        <f t="shared" si="26"/>
        <v>0</v>
      </c>
      <c r="K130" s="77"/>
      <c r="L130" s="33"/>
      <c r="M130" s="33"/>
      <c r="N130" s="33"/>
      <c r="O130" s="33"/>
      <c r="P130" s="33"/>
      <c r="Q130" s="175">
        <f t="shared" si="28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24"/>
        <v>0</v>
      </c>
      <c r="G131" s="78"/>
      <c r="H131" s="78"/>
      <c r="I131" s="179"/>
      <c r="J131" s="193">
        <f t="shared" si="26"/>
        <v>0</v>
      </c>
      <c r="K131" s="78"/>
      <c r="L131" s="54"/>
      <c r="M131" s="54"/>
      <c r="N131" s="54"/>
      <c r="O131" s="54"/>
      <c r="P131" s="54"/>
      <c r="Q131" s="180">
        <f t="shared" si="28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24"/>
        <v>0</v>
      </c>
      <c r="G132" s="77">
        <v>0</v>
      </c>
      <c r="H132" s="77"/>
      <c r="I132" s="174"/>
      <c r="J132" s="191">
        <f t="shared" si="26"/>
        <v>0</v>
      </c>
      <c r="K132" s="77"/>
      <c r="L132" s="33"/>
      <c r="M132" s="33"/>
      <c r="N132" s="33"/>
      <c r="O132" s="33"/>
      <c r="P132" s="33"/>
      <c r="Q132" s="175">
        <f t="shared" si="28"/>
        <v>0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24"/>
        <v>0</v>
      </c>
      <c r="G133" s="78">
        <v>46.17</v>
      </c>
      <c r="H133" s="78"/>
      <c r="I133" s="179"/>
      <c r="J133" s="193">
        <f t="shared" si="26"/>
        <v>0</v>
      </c>
      <c r="K133" s="78"/>
      <c r="L133" s="54"/>
      <c r="M133" s="54"/>
      <c r="N133" s="54"/>
      <c r="O133" s="54"/>
      <c r="P133" s="54"/>
      <c r="Q133" s="197">
        <f t="shared" si="28"/>
        <v>46.17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43">SUM(D134:E134)</f>
        <v>0</v>
      </c>
      <c r="G134" s="139"/>
      <c r="H134" s="139">
        <v>1.4999999999999999E-2</v>
      </c>
      <c r="I134" s="200"/>
      <c r="J134" s="199">
        <f t="shared" ref="J134:J142" si="44">SUM(H134:I134)</f>
        <v>1.4999999999999999E-2</v>
      </c>
      <c r="K134" s="139"/>
      <c r="L134" s="93">
        <v>1.2E-2</v>
      </c>
      <c r="M134" s="93"/>
      <c r="N134" s="93"/>
      <c r="O134" s="93"/>
      <c r="P134" s="93"/>
      <c r="Q134" s="175">
        <f t="shared" si="28"/>
        <v>2.7E-2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43"/>
        <v>0</v>
      </c>
      <c r="G135" s="77"/>
      <c r="H135" s="77"/>
      <c r="I135" s="174"/>
      <c r="J135" s="201">
        <f t="shared" si="44"/>
        <v>0</v>
      </c>
      <c r="K135" s="77"/>
      <c r="L135" s="33"/>
      <c r="M135" s="49"/>
      <c r="N135" s="33"/>
      <c r="O135" s="33"/>
      <c r="P135" s="33"/>
      <c r="Q135" s="175">
        <f t="shared" si="28"/>
        <v>0</v>
      </c>
      <c r="R135" s="27"/>
    </row>
    <row r="136" spans="1:18">
      <c r="A136" s="176" t="s">
        <v>18</v>
      </c>
      <c r="B136" s="54"/>
      <c r="C136" s="192" t="s">
        <v>13</v>
      </c>
      <c r="D136" s="53"/>
      <c r="E136" s="53"/>
      <c r="F136" s="202">
        <f t="shared" si="43"/>
        <v>0</v>
      </c>
      <c r="G136" s="78"/>
      <c r="H136" s="103">
        <v>20.25</v>
      </c>
      <c r="I136" s="179"/>
      <c r="J136" s="202">
        <f t="shared" si="44"/>
        <v>20.25</v>
      </c>
      <c r="K136" s="103"/>
      <c r="L136" s="54">
        <v>5.8319999999999999</v>
      </c>
      <c r="M136" s="92"/>
      <c r="N136" s="54"/>
      <c r="O136" s="54"/>
      <c r="P136" s="54"/>
      <c r="Q136" s="197">
        <f t="shared" si="28"/>
        <v>26.082000000000001</v>
      </c>
      <c r="R136" s="27"/>
    </row>
    <row r="137" spans="1:18">
      <c r="A137" s="27"/>
      <c r="B137" s="212" t="s">
        <v>0</v>
      </c>
      <c r="C137" s="29" t="s">
        <v>11</v>
      </c>
      <c r="D137" s="182"/>
      <c r="E137" s="33"/>
      <c r="F137" s="199">
        <f t="shared" si="43"/>
        <v>0</v>
      </c>
      <c r="G137" s="49">
        <f>+G130+G132+G134</f>
        <v>0</v>
      </c>
      <c r="H137" s="49">
        <f>+H130+H132+H134</f>
        <v>1.4999999999999999E-2</v>
      </c>
      <c r="I137" s="47"/>
      <c r="J137" s="199">
        <f t="shared" si="44"/>
        <v>1.4999999999999999E-2</v>
      </c>
      <c r="K137" s="182"/>
      <c r="L137" s="33">
        <f t="shared" ref="L137" si="45">+L130+L132+L134</f>
        <v>1.2E-2</v>
      </c>
      <c r="M137" s="97"/>
      <c r="N137" s="160"/>
      <c r="O137" s="93"/>
      <c r="P137" s="93"/>
      <c r="Q137" s="175">
        <f t="shared" si="28"/>
        <v>2.7E-2</v>
      </c>
      <c r="R137" s="27"/>
    </row>
    <row r="138" spans="1:18">
      <c r="A138" s="27"/>
      <c r="B138" s="213" t="s">
        <v>19</v>
      </c>
      <c r="C138" s="32" t="s">
        <v>92</v>
      </c>
      <c r="D138" s="33"/>
      <c r="E138" s="33"/>
      <c r="F138" s="201">
        <f t="shared" si="43"/>
        <v>0</v>
      </c>
      <c r="G138" s="98"/>
      <c r="H138" s="49"/>
      <c r="I138" s="50"/>
      <c r="J138" s="201">
        <f t="shared" si="44"/>
        <v>0</v>
      </c>
      <c r="K138" s="49"/>
      <c r="L138" s="33"/>
      <c r="M138" s="69"/>
      <c r="N138" s="69"/>
      <c r="O138" s="33"/>
      <c r="P138" s="33"/>
      <c r="Q138" s="175">
        <f t="shared" si="28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43"/>
        <v>0</v>
      </c>
      <c r="G139" s="68">
        <f>+G131+G133+G136</f>
        <v>46.17</v>
      </c>
      <c r="H139" s="68">
        <f>+H131+H133+H136</f>
        <v>20.25</v>
      </c>
      <c r="I139" s="63"/>
      <c r="J139" s="202">
        <f t="shared" si="44"/>
        <v>20.25</v>
      </c>
      <c r="K139" s="59"/>
      <c r="L139" s="54">
        <f t="shared" ref="L139" si="46">+L131+L133+L136</f>
        <v>5.8319999999999999</v>
      </c>
      <c r="M139" s="70"/>
      <c r="N139" s="70"/>
      <c r="O139" s="54"/>
      <c r="P139" s="54"/>
      <c r="Q139" s="197">
        <f t="shared" si="28"/>
        <v>72.251999999999995</v>
      </c>
      <c r="R139" s="27"/>
    </row>
    <row r="140" spans="1:18">
      <c r="A140" s="27"/>
      <c r="B140" s="28" t="s">
        <v>0</v>
      </c>
      <c r="C140" s="29" t="s">
        <v>11</v>
      </c>
      <c r="D140" s="125">
        <f t="shared" ref="D140:E140" si="47">D137+D128+D104</f>
        <v>376.33359999999999</v>
      </c>
      <c r="E140" s="127">
        <f t="shared" si="47"/>
        <v>1370.0314000000001</v>
      </c>
      <c r="F140" s="199">
        <f t="shared" si="43"/>
        <v>1746.365</v>
      </c>
      <c r="G140" s="147">
        <f t="shared" ref="G140" si="48">G137+G128+G104</f>
        <v>5799.5057000000006</v>
      </c>
      <c r="H140" s="152">
        <f>H137+H128+H104</f>
        <v>6818.2665999999999</v>
      </c>
      <c r="I140" s="57"/>
      <c r="J140" s="199">
        <f t="shared" si="44"/>
        <v>6818.2665999999999</v>
      </c>
      <c r="K140" s="155">
        <f>K137+K128+K104</f>
        <v>2467.4639000000011</v>
      </c>
      <c r="L140" s="93">
        <f t="shared" ref="L140:P140" si="49">L137+L128+L104</f>
        <v>139.29145</v>
      </c>
      <c r="M140" s="97">
        <f t="shared" si="49"/>
        <v>8.6400000000000005E-2</v>
      </c>
      <c r="N140" s="97">
        <f t="shared" si="49"/>
        <v>68.708399999999983</v>
      </c>
      <c r="O140" s="93">
        <f t="shared" si="49"/>
        <v>13.328900000000001</v>
      </c>
      <c r="P140" s="93">
        <f t="shared" si="49"/>
        <v>31.9833</v>
      </c>
      <c r="Q140" s="175">
        <f t="shared" si="28"/>
        <v>17084.999650000002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43"/>
        <v>0</v>
      </c>
      <c r="G141" s="148"/>
      <c r="H141" s="144"/>
      <c r="I141" s="206"/>
      <c r="J141" s="201">
        <f t="shared" si="44"/>
        <v>0</v>
      </c>
      <c r="K141" s="148"/>
      <c r="L141" s="33"/>
      <c r="M141" s="69"/>
      <c r="N141" s="69"/>
      <c r="O141" s="33"/>
      <c r="P141" s="33"/>
      <c r="Q141" s="175">
        <f t="shared" ref="Q141:Q142" si="50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f t="shared" ref="D142:E142" si="51">D139+D129+D105</f>
        <v>258499.21899999998</v>
      </c>
      <c r="E142" s="118">
        <f t="shared" si="51"/>
        <v>355629.34400000004</v>
      </c>
      <c r="F142" s="207">
        <f t="shared" si="43"/>
        <v>614128.56300000008</v>
      </c>
      <c r="G142" s="136">
        <f t="shared" ref="G142" si="52">G139+G129+G105</f>
        <v>2221561.0200000005</v>
      </c>
      <c r="H142" s="153">
        <f>H139+H129+H105</f>
        <v>1416232.5040000004</v>
      </c>
      <c r="I142" s="58"/>
      <c r="J142" s="207">
        <f t="shared" si="44"/>
        <v>1416232.5040000004</v>
      </c>
      <c r="K142" s="136">
        <f>K139+K129+K105</f>
        <v>640230.61900000006</v>
      </c>
      <c r="L142" s="37">
        <f t="shared" ref="L142:P142" si="53">L139+L129+L105</f>
        <v>68463.311999999991</v>
      </c>
      <c r="M142" s="71">
        <f t="shared" si="53"/>
        <v>98.992800000000003</v>
      </c>
      <c r="N142" s="71">
        <f t="shared" si="53"/>
        <v>45474.840000000004</v>
      </c>
      <c r="O142" s="37">
        <f t="shared" si="53"/>
        <v>13640.762999999999</v>
      </c>
      <c r="P142" s="37">
        <f t="shared" si="53"/>
        <v>26642.294280000002</v>
      </c>
      <c r="Q142" s="187">
        <f t="shared" si="50"/>
        <v>5046472.9080800014</v>
      </c>
      <c r="R142" s="27"/>
    </row>
    <row r="143" spans="1:18">
      <c r="Q143" s="208" t="s">
        <v>94</v>
      </c>
    </row>
    <row r="145" spans="12:12">
      <c r="L145" s="47"/>
    </row>
    <row r="146" spans="12:12">
      <c r="L146" s="47"/>
    </row>
    <row r="147" spans="12:12">
      <c r="L147" s="47"/>
    </row>
    <row r="148" spans="12:12">
      <c r="L148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総括表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2015-03-25T05:19:20Z</cp:lastPrinted>
  <dcterms:created xsi:type="dcterms:W3CDTF">2013-06-24T02:13:34Z</dcterms:created>
  <dcterms:modified xsi:type="dcterms:W3CDTF">2015-03-25T06:11:20Z</dcterms:modified>
</cp:coreProperties>
</file>