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2.200\団体指導検査班\02 団体指導担当\04 漁協関係\010 年報\R6年度\04統計編\作業用\掲載用\"/>
    </mc:Choice>
  </mc:AlternateContent>
  <bookViews>
    <workbookView xWindow="0" yWindow="0" windowWidth="20490" windowHeight="7530" activeTab="4"/>
  </bookViews>
  <sheets>
    <sheet name="組織" sheetId="1" r:id="rId1"/>
    <sheet name="事業1" sheetId="2" r:id="rId2"/>
    <sheet name="事業2" sheetId="3" r:id="rId3"/>
    <sheet name="貸借" sheetId="4" r:id="rId4"/>
    <sheet name="損益" sheetId="5" r:id="rId5"/>
  </sheets>
  <definedNames>
    <definedName name="_Regression_Int" localSheetId="1" hidden="1">1</definedName>
    <definedName name="_Regression_Int" localSheetId="2" hidden="1">1</definedName>
    <definedName name="_Regression_Int" localSheetId="0" hidden="1">1</definedName>
    <definedName name="_Regression_Int" localSheetId="4" hidden="1">1</definedName>
    <definedName name="_Regression_Int" localSheetId="3" hidden="1">1</definedName>
    <definedName name="_xlnm.Print_Area" localSheetId="1">事業1!$A$1:$BB$21</definedName>
    <definedName name="_xlnm.Print_Area" localSheetId="2">事業2!$A$1:$AO$21</definedName>
    <definedName name="_xlnm.Print_Area" localSheetId="0">組織!$A$1:$Z$22</definedName>
    <definedName name="_xlnm.Print_Area" localSheetId="4">損益!$A$1:$BB$20</definedName>
    <definedName name="_xlnm.Print_Area" localSheetId="3">貸借!$A$1:$CM$21</definedName>
    <definedName name="Print_Area_MI" localSheetId="1">事業1!$B$1:$BA$21</definedName>
    <definedName name="Print_Area_MI" localSheetId="2">事業2!$B$1:$AN$21</definedName>
    <definedName name="Print_Area_MI" localSheetId="0">組織!$B$1:$X$22</definedName>
    <definedName name="Print_Area_MI" localSheetId="4">損益!$AM$1:$AX$20</definedName>
    <definedName name="Print_Area_MI" localSheetId="3">貸借!$CB$1:$CL$21</definedName>
    <definedName name="Print_Titles_MI" localSheetId="4">損益!$B:$C</definedName>
    <definedName name="Print_Titles_MI" localSheetId="3">貸借!$B:$C</definedName>
  </definedNames>
  <calcPr calcId="162913"/>
</workbook>
</file>

<file path=xl/calcChain.xml><?xml version="1.0" encoding="utf-8"?>
<calcChain xmlns="http://schemas.openxmlformats.org/spreadsheetml/2006/main">
  <c r="AN18" i="5" l="1"/>
  <c r="M18" i="5"/>
  <c r="AY9" i="5"/>
  <c r="W9" i="4"/>
  <c r="W8" i="4"/>
  <c r="AC17" i="5" l="1"/>
  <c r="AD17" i="5"/>
  <c r="AI17" i="4" l="1"/>
  <c r="BW17" i="4" l="1"/>
  <c r="BN17" i="4"/>
  <c r="P18" i="5"/>
  <c r="AD18" i="5"/>
  <c r="AC18" i="5"/>
  <c r="CD20" i="4" l="1"/>
  <c r="BJ19" i="4"/>
  <c r="BK19" i="4" s="1"/>
  <c r="BE19" i="4"/>
  <c r="BD19" i="4"/>
  <c r="AH19" i="4"/>
  <c r="AG19" i="4"/>
  <c r="AB19" i="4"/>
  <c r="R19" i="4"/>
  <c r="W19" i="4" s="1"/>
  <c r="U19" i="4"/>
  <c r="T19" i="4"/>
  <c r="E19" i="4"/>
  <c r="M16" i="4"/>
  <c r="U16" i="4"/>
  <c r="W16" i="4" s="1"/>
  <c r="G17" i="1"/>
  <c r="AP13" i="5"/>
  <c r="CH14" i="4"/>
  <c r="P12" i="5" l="1"/>
  <c r="AD12" i="5"/>
  <c r="AC12" i="5"/>
  <c r="Q12" i="5"/>
  <c r="BN13" i="4"/>
  <c r="BJ13" i="4"/>
  <c r="Z13" i="2"/>
  <c r="AC11" i="5" l="1"/>
  <c r="Q11" i="5"/>
  <c r="P11" i="5"/>
  <c r="CH12" i="4"/>
  <c r="BJ12" i="4"/>
  <c r="AF12" i="3"/>
  <c r="AF10" i="5"/>
  <c r="CK11" i="4"/>
  <c r="AF11" i="3"/>
  <c r="AB11" i="2"/>
  <c r="Z11" i="2"/>
  <c r="CK9" i="4"/>
  <c r="BJ9" i="4"/>
  <c r="AH9" i="4"/>
  <c r="AD7" i="5" l="1"/>
  <c r="AC7" i="5"/>
  <c r="AC8" i="4" l="1"/>
  <c r="AB8" i="4"/>
  <c r="G10" i="1"/>
  <c r="W7" i="4"/>
  <c r="AF7" i="2"/>
  <c r="AI19" i="4" l="1"/>
  <c r="AG20" i="4"/>
  <c r="BJ14" i="4" l="1"/>
  <c r="L9" i="1"/>
  <c r="CK12" i="4" l="1"/>
  <c r="E11" i="1"/>
  <c r="AI8" i="4" l="1"/>
  <c r="G13" i="1" l="1"/>
  <c r="AI18" i="4" l="1"/>
  <c r="AH11" i="2" l="1"/>
  <c r="AQ8" i="4"/>
  <c r="AH8" i="2" l="1"/>
  <c r="CE10" i="4" l="1"/>
  <c r="CK18" i="4" l="1"/>
  <c r="AB20" i="2"/>
  <c r="AI13" i="4"/>
  <c r="W13" i="4"/>
  <c r="P13" i="4"/>
  <c r="L15" i="1"/>
  <c r="L17" i="1"/>
  <c r="L18" i="1"/>
  <c r="L19" i="1"/>
  <c r="L20" i="1"/>
  <c r="CK14" i="4" l="1"/>
  <c r="AF16" i="2" l="1"/>
  <c r="AF14" i="2"/>
  <c r="BJ15" i="4"/>
  <c r="AK10" i="3" l="1"/>
  <c r="CK8" i="4"/>
  <c r="CK7" i="4"/>
  <c r="BV10" i="4"/>
  <c r="AB10" i="4"/>
  <c r="D15" i="4"/>
  <c r="D10" i="4"/>
  <c r="AG13" i="5" l="1"/>
  <c r="AZ19" i="5" l="1"/>
  <c r="AY19" i="5"/>
  <c r="AW19" i="5"/>
  <c r="AV19" i="5"/>
  <c r="AT19" i="5"/>
  <c r="AS19" i="5"/>
  <c r="AQ19" i="5"/>
  <c r="AP19" i="5"/>
  <c r="AN19" i="5"/>
  <c r="AM19" i="5"/>
  <c r="AD19" i="5"/>
  <c r="AC19" i="5"/>
  <c r="AA19" i="5"/>
  <c r="Z19" i="5"/>
  <c r="X19" i="5"/>
  <c r="W19" i="5"/>
  <c r="Q19" i="5"/>
  <c r="P19" i="5"/>
  <c r="N19" i="5"/>
  <c r="M19" i="5"/>
  <c r="K19" i="5"/>
  <c r="J19" i="5"/>
  <c r="H19" i="5"/>
  <c r="G19" i="5"/>
  <c r="E19" i="5"/>
  <c r="D19" i="5"/>
  <c r="AG18" i="5"/>
  <c r="AF18" i="5"/>
  <c r="AE18" i="5"/>
  <c r="AB18" i="5"/>
  <c r="Y18" i="5"/>
  <c r="R18" i="5"/>
  <c r="O18" i="5"/>
  <c r="L18" i="5"/>
  <c r="I18" i="5"/>
  <c r="F18" i="5"/>
  <c r="AG17" i="5"/>
  <c r="AF17" i="5"/>
  <c r="AE17" i="5"/>
  <c r="AB17" i="5"/>
  <c r="Y17" i="5"/>
  <c r="R17" i="5"/>
  <c r="O17" i="5"/>
  <c r="L17" i="5"/>
  <c r="I17" i="5"/>
  <c r="F17" i="5"/>
  <c r="AG16" i="5"/>
  <c r="AF16" i="5"/>
  <c r="AE16" i="5"/>
  <c r="AB16" i="5"/>
  <c r="Y16" i="5"/>
  <c r="R16" i="5"/>
  <c r="O16" i="5"/>
  <c r="L16" i="5"/>
  <c r="I16" i="5"/>
  <c r="F16" i="5"/>
  <c r="AG15" i="5"/>
  <c r="AF15" i="5"/>
  <c r="AE15" i="5"/>
  <c r="AB15" i="5"/>
  <c r="Y15" i="5"/>
  <c r="R15" i="5"/>
  <c r="O15" i="5"/>
  <c r="L15" i="5"/>
  <c r="I15" i="5"/>
  <c r="F15" i="5"/>
  <c r="AZ14" i="5"/>
  <c r="AY14" i="5"/>
  <c r="AW14" i="5"/>
  <c r="AV14" i="5"/>
  <c r="AT14" i="5"/>
  <c r="AS14" i="5"/>
  <c r="AQ14" i="5"/>
  <c r="AP14" i="5"/>
  <c r="AN14" i="5"/>
  <c r="AM14" i="5"/>
  <c r="AD14" i="5"/>
  <c r="AC14" i="5"/>
  <c r="AA14" i="5"/>
  <c r="Z14" i="5"/>
  <c r="X14" i="5"/>
  <c r="W14" i="5"/>
  <c r="Q14" i="5"/>
  <c r="P14" i="5"/>
  <c r="N14" i="5"/>
  <c r="M14" i="5"/>
  <c r="K14" i="5"/>
  <c r="J14" i="5"/>
  <c r="H14" i="5"/>
  <c r="G14" i="5"/>
  <c r="E14" i="5"/>
  <c r="D14" i="5"/>
  <c r="AF13" i="5"/>
  <c r="AE13" i="5"/>
  <c r="AB13" i="5"/>
  <c r="Y13" i="5"/>
  <c r="R13" i="5"/>
  <c r="O13" i="5"/>
  <c r="L13" i="5"/>
  <c r="I13" i="5"/>
  <c r="F13" i="5"/>
  <c r="AG12" i="5"/>
  <c r="AF12" i="5"/>
  <c r="AE12" i="5"/>
  <c r="AB12" i="5"/>
  <c r="Y12" i="5"/>
  <c r="R12" i="5"/>
  <c r="O12" i="5"/>
  <c r="L12" i="5"/>
  <c r="I12" i="5"/>
  <c r="F12" i="5"/>
  <c r="AG11" i="5"/>
  <c r="AF11" i="5"/>
  <c r="AE11" i="5"/>
  <c r="AB11" i="5"/>
  <c r="Y11" i="5"/>
  <c r="R11" i="5"/>
  <c r="O11" i="5"/>
  <c r="L11" i="5"/>
  <c r="I11" i="5"/>
  <c r="F11" i="5"/>
  <c r="AG10" i="5"/>
  <c r="AE10" i="5"/>
  <c r="AB10" i="5"/>
  <c r="Y10" i="5"/>
  <c r="R10" i="5"/>
  <c r="O10" i="5"/>
  <c r="L10" i="5"/>
  <c r="I10" i="5"/>
  <c r="F10" i="5"/>
  <c r="AZ9" i="5"/>
  <c r="AW9" i="5"/>
  <c r="AV9" i="5"/>
  <c r="AT9" i="5"/>
  <c r="AS9" i="5"/>
  <c r="AQ9" i="5"/>
  <c r="AP9" i="5"/>
  <c r="AN9" i="5"/>
  <c r="AM9" i="5"/>
  <c r="AD9" i="5"/>
  <c r="AC9" i="5"/>
  <c r="AA9" i="5"/>
  <c r="Z9" i="5"/>
  <c r="X9" i="5"/>
  <c r="W9" i="5"/>
  <c r="Q9" i="5"/>
  <c r="P9" i="5"/>
  <c r="N9" i="5"/>
  <c r="M9" i="5"/>
  <c r="K9" i="5"/>
  <c r="J9" i="5"/>
  <c r="H9" i="5"/>
  <c r="G9" i="5"/>
  <c r="E9" i="5"/>
  <c r="D9" i="5"/>
  <c r="AG8" i="5"/>
  <c r="AF8" i="5"/>
  <c r="AE8" i="5"/>
  <c r="AB8" i="5"/>
  <c r="Y8" i="5"/>
  <c r="R8" i="5"/>
  <c r="O8" i="5"/>
  <c r="L8" i="5"/>
  <c r="I8" i="5"/>
  <c r="F8" i="5"/>
  <c r="AG7" i="5"/>
  <c r="AF7" i="5"/>
  <c r="AE7" i="5"/>
  <c r="AB7" i="5"/>
  <c r="Y7" i="5"/>
  <c r="R7" i="5"/>
  <c r="O7" i="5"/>
  <c r="L7" i="5"/>
  <c r="I7" i="5"/>
  <c r="F7" i="5"/>
  <c r="AG6" i="5"/>
  <c r="AF6" i="5"/>
  <c r="AE6" i="5"/>
  <c r="AB6" i="5"/>
  <c r="Y6" i="5"/>
  <c r="R6" i="5"/>
  <c r="O6" i="5"/>
  <c r="L6" i="5"/>
  <c r="I6" i="5"/>
  <c r="F6" i="5"/>
  <c r="CJ20" i="4"/>
  <c r="CI20" i="4"/>
  <c r="CH20" i="4"/>
  <c r="CG20" i="4"/>
  <c r="CF20" i="4"/>
  <c r="CE20" i="4"/>
  <c r="CC20" i="4"/>
  <c r="CB20" i="4"/>
  <c r="BZ20" i="4"/>
  <c r="BY20" i="4"/>
  <c r="BW20" i="4"/>
  <c r="BV20" i="4"/>
  <c r="BU20" i="4"/>
  <c r="BT20" i="4"/>
  <c r="BN20" i="4"/>
  <c r="BM20" i="4"/>
  <c r="BL20" i="4"/>
  <c r="BJ20" i="4"/>
  <c r="BI20" i="4"/>
  <c r="BH20" i="4"/>
  <c r="BG20" i="4"/>
  <c r="BF20" i="4"/>
  <c r="BE20" i="4"/>
  <c r="BD20" i="4"/>
  <c r="BC20" i="4"/>
  <c r="BA20" i="4"/>
  <c r="AZ20" i="4"/>
  <c r="AY20" i="4"/>
  <c r="AX20" i="4"/>
  <c r="AR20" i="4"/>
  <c r="AP20" i="4"/>
  <c r="AO20" i="4"/>
  <c r="AL20" i="4"/>
  <c r="AK20" i="4"/>
  <c r="AJ20" i="4"/>
  <c r="AH20" i="4"/>
  <c r="AF20" i="4"/>
  <c r="AE20" i="4"/>
  <c r="AD20" i="4"/>
  <c r="AC20" i="4"/>
  <c r="AB20" i="4"/>
  <c r="V20" i="4"/>
  <c r="U20" i="4"/>
  <c r="T20" i="4"/>
  <c r="S20" i="4"/>
  <c r="R20" i="4"/>
  <c r="Q20" i="4"/>
  <c r="O20" i="4"/>
  <c r="N20" i="4"/>
  <c r="L20" i="4"/>
  <c r="K20" i="4"/>
  <c r="I20" i="4"/>
  <c r="H20" i="4"/>
  <c r="G20" i="4"/>
  <c r="F20" i="4"/>
  <c r="E20" i="4"/>
  <c r="D20" i="4"/>
  <c r="CK19" i="4"/>
  <c r="BX19" i="4"/>
  <c r="BO19" i="4"/>
  <c r="BB19" i="4"/>
  <c r="AS19" i="4"/>
  <c r="AQ19" i="4"/>
  <c r="P19" i="4"/>
  <c r="J19" i="4"/>
  <c r="M19" i="4" s="1"/>
  <c r="BX18" i="4"/>
  <c r="BO18" i="4"/>
  <c r="BK18" i="4"/>
  <c r="BB18" i="4"/>
  <c r="AQ18" i="4"/>
  <c r="AS18" i="4" s="1"/>
  <c r="W18" i="4"/>
  <c r="P18" i="4"/>
  <c r="J18" i="4"/>
  <c r="M18" i="4" s="1"/>
  <c r="CK17" i="4"/>
  <c r="BX17" i="4"/>
  <c r="BO17" i="4"/>
  <c r="BK17" i="4"/>
  <c r="BB17" i="4"/>
  <c r="BB20" i="4" s="1"/>
  <c r="AQ17" i="4"/>
  <c r="AS17" i="4" s="1"/>
  <c r="W17" i="4"/>
  <c r="AM17" i="4" s="1"/>
  <c r="P17" i="4"/>
  <c r="J17" i="4"/>
  <c r="M17" i="4" s="1"/>
  <c r="CK16" i="4"/>
  <c r="BX16" i="4"/>
  <c r="BO16" i="4"/>
  <c r="BK16" i="4"/>
  <c r="AQ16" i="4"/>
  <c r="AI16" i="4"/>
  <c r="AM16" i="4" s="1"/>
  <c r="CJ15" i="4"/>
  <c r="CI15" i="4"/>
  <c r="CH15" i="4"/>
  <c r="CG15" i="4"/>
  <c r="CF15" i="4"/>
  <c r="CE15" i="4"/>
  <c r="CD15" i="4"/>
  <c r="CC15" i="4"/>
  <c r="CB15" i="4"/>
  <c r="BZ15" i="4"/>
  <c r="BY15" i="4"/>
  <c r="BW15" i="4"/>
  <c r="BV15" i="4"/>
  <c r="BU15" i="4"/>
  <c r="BT15" i="4"/>
  <c r="BN15" i="4"/>
  <c r="BM15" i="4"/>
  <c r="BL15" i="4"/>
  <c r="BI15" i="4"/>
  <c r="BH15" i="4"/>
  <c r="BG15" i="4"/>
  <c r="BF15" i="4"/>
  <c r="BE15" i="4"/>
  <c r="BD15" i="4"/>
  <c r="BC15" i="4"/>
  <c r="BA15" i="4"/>
  <c r="AZ15" i="4"/>
  <c r="AY15" i="4"/>
  <c r="AX15" i="4"/>
  <c r="AR15" i="4"/>
  <c r="AP15" i="4"/>
  <c r="AO15" i="4"/>
  <c r="AL15" i="4"/>
  <c r="AK15" i="4"/>
  <c r="AJ15" i="4"/>
  <c r="AH15" i="4"/>
  <c r="AG15" i="4"/>
  <c r="AF15" i="4"/>
  <c r="AE15" i="4"/>
  <c r="AD15" i="4"/>
  <c r="AC15" i="4"/>
  <c r="AB15" i="4"/>
  <c r="V15" i="4"/>
  <c r="U15" i="4"/>
  <c r="T15" i="4"/>
  <c r="S15" i="4"/>
  <c r="R15" i="4"/>
  <c r="Q15" i="4"/>
  <c r="O15" i="4"/>
  <c r="N15" i="4"/>
  <c r="L15" i="4"/>
  <c r="K15" i="4"/>
  <c r="I15" i="4"/>
  <c r="H15" i="4"/>
  <c r="G15" i="4"/>
  <c r="F15" i="4"/>
  <c r="E15" i="4"/>
  <c r="BX14" i="4"/>
  <c r="BO14" i="4"/>
  <c r="BK14" i="4"/>
  <c r="BB14" i="4"/>
  <c r="AQ14" i="4"/>
  <c r="AS14" i="4" s="1"/>
  <c r="AI14" i="4"/>
  <c r="W14" i="4"/>
  <c r="P14" i="4"/>
  <c r="J14" i="4"/>
  <c r="M14" i="4" s="1"/>
  <c r="CK13" i="4"/>
  <c r="BX13" i="4"/>
  <c r="BO13" i="4"/>
  <c r="BK13" i="4"/>
  <c r="BB13" i="4"/>
  <c r="AQ13" i="4"/>
  <c r="J13" i="4"/>
  <c r="M13" i="4" s="1"/>
  <c r="AM13" i="4" s="1"/>
  <c r="BX12" i="4"/>
  <c r="BO12" i="4"/>
  <c r="BK12" i="4"/>
  <c r="BB12" i="4"/>
  <c r="AQ12" i="4"/>
  <c r="AS12" i="4" s="1"/>
  <c r="AI12" i="4"/>
  <c r="W12" i="4"/>
  <c r="P12" i="4"/>
  <c r="J12" i="4"/>
  <c r="M12" i="4" s="1"/>
  <c r="BX11" i="4"/>
  <c r="BO11" i="4"/>
  <c r="BK11" i="4"/>
  <c r="BB11" i="4"/>
  <c r="AQ11" i="4"/>
  <c r="AS11" i="4" s="1"/>
  <c r="AI11" i="4"/>
  <c r="W11" i="4"/>
  <c r="P11" i="4"/>
  <c r="J11" i="4"/>
  <c r="CJ10" i="4"/>
  <c r="CI10" i="4"/>
  <c r="CH10" i="4"/>
  <c r="CG10" i="4"/>
  <c r="CF10" i="4"/>
  <c r="CD10" i="4"/>
  <c r="CC10" i="4"/>
  <c r="CB10" i="4"/>
  <c r="BZ10" i="4"/>
  <c r="BY10" i="4"/>
  <c r="BW10" i="4"/>
  <c r="BU10" i="4"/>
  <c r="BT10" i="4"/>
  <c r="BN10" i="4"/>
  <c r="BM10" i="4"/>
  <c r="BL10" i="4"/>
  <c r="BJ10" i="4"/>
  <c r="BI10" i="4"/>
  <c r="BH10" i="4"/>
  <c r="BF10" i="4"/>
  <c r="BE10" i="4"/>
  <c r="BD10" i="4"/>
  <c r="BC10" i="4"/>
  <c r="BA10" i="4"/>
  <c r="AZ10" i="4"/>
  <c r="AY10" i="4"/>
  <c r="AX10" i="4"/>
  <c r="AR10" i="4"/>
  <c r="AP10" i="4"/>
  <c r="AO10" i="4"/>
  <c r="AL10" i="4"/>
  <c r="AK10" i="4"/>
  <c r="AJ10" i="4"/>
  <c r="AH10" i="4"/>
  <c r="AG10" i="4"/>
  <c r="AF10" i="4"/>
  <c r="AE10" i="4"/>
  <c r="AD10" i="4"/>
  <c r="AC10" i="4"/>
  <c r="V10" i="4"/>
  <c r="U10" i="4"/>
  <c r="T10" i="4"/>
  <c r="R10" i="4"/>
  <c r="Q10" i="4"/>
  <c r="O10" i="4"/>
  <c r="N10" i="4"/>
  <c r="L10" i="4"/>
  <c r="K10" i="4"/>
  <c r="I10" i="4"/>
  <c r="H10" i="4"/>
  <c r="G10" i="4"/>
  <c r="F10" i="4"/>
  <c r="E10" i="4"/>
  <c r="BX9" i="4"/>
  <c r="BO9" i="4"/>
  <c r="BK9" i="4"/>
  <c r="BB9" i="4"/>
  <c r="AQ9" i="4"/>
  <c r="AS9" i="4" s="1"/>
  <c r="AI9" i="4"/>
  <c r="P9" i="4"/>
  <c r="J9" i="4"/>
  <c r="M9" i="4" s="1"/>
  <c r="BX8" i="4"/>
  <c r="BO8" i="4"/>
  <c r="BK8" i="4"/>
  <c r="BB8" i="4"/>
  <c r="AS8" i="4"/>
  <c r="P8" i="4"/>
  <c r="J8" i="4"/>
  <c r="BX7" i="4"/>
  <c r="BO7" i="4"/>
  <c r="BK7" i="4"/>
  <c r="BB7" i="4"/>
  <c r="AQ7" i="4"/>
  <c r="AI7" i="4"/>
  <c r="P7" i="4"/>
  <c r="J7" i="4"/>
  <c r="M7" i="4" s="1"/>
  <c r="AN20" i="3"/>
  <c r="AM20" i="3"/>
  <c r="AL20" i="3"/>
  <c r="AK20" i="3"/>
  <c r="AH20" i="3"/>
  <c r="AG20" i="3"/>
  <c r="AF20" i="3"/>
  <c r="AD20" i="3"/>
  <c r="AC20" i="3"/>
  <c r="V20" i="3"/>
  <c r="U20" i="3"/>
  <c r="T20" i="3"/>
  <c r="S20" i="3"/>
  <c r="R20" i="3"/>
  <c r="Q20" i="3"/>
  <c r="P20" i="3"/>
  <c r="O20" i="3"/>
  <c r="N20" i="3"/>
  <c r="L20" i="3"/>
  <c r="K20" i="3"/>
  <c r="J20" i="3"/>
  <c r="I20" i="3"/>
  <c r="H20" i="3"/>
  <c r="G20" i="3"/>
  <c r="F20" i="3"/>
  <c r="E20" i="3"/>
  <c r="D20" i="3"/>
  <c r="AI19" i="3"/>
  <c r="AE19" i="3"/>
  <c r="AJ19" i="3" s="1"/>
  <c r="W19" i="3"/>
  <c r="M19" i="3"/>
  <c r="AI18" i="3"/>
  <c r="AE18" i="3"/>
  <c r="W18" i="3"/>
  <c r="M18" i="3"/>
  <c r="AI17" i="3"/>
  <c r="AE17" i="3"/>
  <c r="AJ17" i="3" s="1"/>
  <c r="W17" i="3"/>
  <c r="M17" i="3"/>
  <c r="AI16" i="3"/>
  <c r="AE16" i="3"/>
  <c r="AJ16" i="3" s="1"/>
  <c r="W16" i="3"/>
  <c r="M16" i="3"/>
  <c r="AN15" i="3"/>
  <c r="AM15" i="3"/>
  <c r="AL15" i="3"/>
  <c r="AK15" i="3"/>
  <c r="AH15" i="3"/>
  <c r="AG15" i="3"/>
  <c r="AF15" i="3"/>
  <c r="AD15" i="3"/>
  <c r="AC15" i="3"/>
  <c r="V15" i="3"/>
  <c r="U15" i="3"/>
  <c r="T15" i="3"/>
  <c r="S15" i="3"/>
  <c r="R15" i="3"/>
  <c r="Q15" i="3"/>
  <c r="P15" i="3"/>
  <c r="O15" i="3"/>
  <c r="N15" i="3"/>
  <c r="L15" i="3"/>
  <c r="K15" i="3"/>
  <c r="J15" i="3"/>
  <c r="I15" i="3"/>
  <c r="H15" i="3"/>
  <c r="G15" i="3"/>
  <c r="F15" i="3"/>
  <c r="E15" i="3"/>
  <c r="D15" i="3"/>
  <c r="AI14" i="3"/>
  <c r="AE14" i="3"/>
  <c r="W14" i="3"/>
  <c r="M14" i="3"/>
  <c r="AI13" i="3"/>
  <c r="AE13" i="3"/>
  <c r="W13" i="3"/>
  <c r="M13" i="3"/>
  <c r="AI12" i="3"/>
  <c r="AE12" i="3"/>
  <c r="W12" i="3"/>
  <c r="M12" i="3"/>
  <c r="AI11" i="3"/>
  <c r="AE11" i="3"/>
  <c r="W11" i="3"/>
  <c r="M11" i="3"/>
  <c r="AN10" i="3"/>
  <c r="AM10" i="3"/>
  <c r="AL10" i="3"/>
  <c r="AH10" i="3"/>
  <c r="AG10" i="3"/>
  <c r="AF10" i="3"/>
  <c r="AD10" i="3"/>
  <c r="AC10" i="3"/>
  <c r="V10" i="3"/>
  <c r="U10" i="3"/>
  <c r="T10" i="3"/>
  <c r="S10" i="3"/>
  <c r="R10" i="3"/>
  <c r="Q10" i="3"/>
  <c r="P10" i="3"/>
  <c r="O10" i="3"/>
  <c r="N10" i="3"/>
  <c r="L10" i="3"/>
  <c r="K10" i="3"/>
  <c r="J10" i="3"/>
  <c r="I10" i="3"/>
  <c r="H10" i="3"/>
  <c r="G10" i="3"/>
  <c r="F10" i="3"/>
  <c r="E10" i="3"/>
  <c r="D10" i="3"/>
  <c r="AI9" i="3"/>
  <c r="AE9" i="3"/>
  <c r="W9" i="3"/>
  <c r="M9" i="3"/>
  <c r="AI8" i="3"/>
  <c r="AE8" i="3"/>
  <c r="W8" i="3"/>
  <c r="M8" i="3"/>
  <c r="AI7" i="3"/>
  <c r="AE7" i="3"/>
  <c r="W7" i="3"/>
  <c r="M7" i="3"/>
  <c r="AU20" i="2"/>
  <c r="AT20" i="2"/>
  <c r="AS20" i="2"/>
  <c r="AR20" i="2"/>
  <c r="AQ20" i="2"/>
  <c r="AP20" i="2"/>
  <c r="AO20" i="2"/>
  <c r="AN20" i="2"/>
  <c r="AM20" i="2"/>
  <c r="AE20" i="2"/>
  <c r="AD20" i="2"/>
  <c r="AC20" i="2"/>
  <c r="AA20" i="2"/>
  <c r="Z20" i="2"/>
  <c r="Y20" i="2"/>
  <c r="X20" i="2"/>
  <c r="W20" i="2"/>
  <c r="R20" i="2"/>
  <c r="Q20" i="2"/>
  <c r="P20" i="2"/>
  <c r="O20" i="2"/>
  <c r="N20" i="2"/>
  <c r="M20" i="2"/>
  <c r="L20" i="2"/>
  <c r="K20" i="2"/>
  <c r="I20" i="2"/>
  <c r="H20" i="2"/>
  <c r="F20" i="2"/>
  <c r="E20" i="2"/>
  <c r="D20" i="2"/>
  <c r="AX19" i="2"/>
  <c r="AW19" i="2"/>
  <c r="AV19" i="2"/>
  <c r="AH19" i="2"/>
  <c r="AG19" i="2"/>
  <c r="AZ19" i="2" s="1"/>
  <c r="AF19" i="2"/>
  <c r="J19" i="2"/>
  <c r="G19" i="2"/>
  <c r="AX18" i="2"/>
  <c r="AW18" i="2"/>
  <c r="AV18" i="2"/>
  <c r="AH18" i="2"/>
  <c r="AG18" i="2"/>
  <c r="AF18" i="2"/>
  <c r="J18" i="2"/>
  <c r="G18" i="2"/>
  <c r="AX17" i="2"/>
  <c r="AW17" i="2"/>
  <c r="AV17" i="2"/>
  <c r="AH17" i="2"/>
  <c r="AG17" i="2"/>
  <c r="AF17" i="2"/>
  <c r="J17" i="2"/>
  <c r="G17" i="2"/>
  <c r="AX16" i="2"/>
  <c r="AW16" i="2"/>
  <c r="AW20" i="2" s="1"/>
  <c r="AV16" i="2"/>
  <c r="AY16" i="2" s="1"/>
  <c r="AH16" i="2"/>
  <c r="AG16" i="2"/>
  <c r="G16" i="2"/>
  <c r="J16" i="2" s="1"/>
  <c r="AU15" i="2"/>
  <c r="AT15" i="2"/>
  <c r="AS15" i="2"/>
  <c r="AR15" i="2"/>
  <c r="AQ15" i="2"/>
  <c r="AP15" i="2"/>
  <c r="AO15" i="2"/>
  <c r="AN15" i="2"/>
  <c r="AM15" i="2"/>
  <c r="AE15" i="2"/>
  <c r="AD15" i="2"/>
  <c r="AC15" i="2"/>
  <c r="AB15" i="2"/>
  <c r="AA15" i="2"/>
  <c r="Z15" i="2"/>
  <c r="Y15" i="2"/>
  <c r="X15" i="2"/>
  <c r="W15" i="2"/>
  <c r="R15" i="2"/>
  <c r="Q15" i="2"/>
  <c r="P15" i="2"/>
  <c r="O15" i="2"/>
  <c r="N15" i="2"/>
  <c r="M15" i="2"/>
  <c r="L15" i="2"/>
  <c r="K15" i="2"/>
  <c r="I15" i="2"/>
  <c r="H15" i="2"/>
  <c r="F15" i="2"/>
  <c r="E15" i="2"/>
  <c r="D15" i="2"/>
  <c r="AX14" i="2"/>
  <c r="AW14" i="2"/>
  <c r="AV14" i="2"/>
  <c r="AY14" i="2" s="1"/>
  <c r="AH14" i="2"/>
  <c r="AG14" i="2"/>
  <c r="J14" i="2"/>
  <c r="G14" i="2"/>
  <c r="AX13" i="2"/>
  <c r="AW13" i="2"/>
  <c r="AV13" i="2"/>
  <c r="AH13" i="2"/>
  <c r="AG13" i="2"/>
  <c r="AF13" i="2"/>
  <c r="G13" i="2"/>
  <c r="J13" i="2" s="1"/>
  <c r="AX12" i="2"/>
  <c r="AW12" i="2"/>
  <c r="AV12" i="2"/>
  <c r="AH12" i="2"/>
  <c r="AG12" i="2"/>
  <c r="AF12" i="2"/>
  <c r="J12" i="2"/>
  <c r="G12" i="2"/>
  <c r="AX11" i="2"/>
  <c r="AW11" i="2"/>
  <c r="AV11" i="2"/>
  <c r="AG11" i="2"/>
  <c r="AF11" i="2"/>
  <c r="J11" i="2"/>
  <c r="G11" i="2"/>
  <c r="AU10" i="2"/>
  <c r="AT10" i="2"/>
  <c r="AS10" i="2"/>
  <c r="AR10" i="2"/>
  <c r="AQ10" i="2"/>
  <c r="AP10" i="2"/>
  <c r="AO10" i="2"/>
  <c r="AN10" i="2"/>
  <c r="AM10" i="2"/>
  <c r="AE10" i="2"/>
  <c r="AD10" i="2"/>
  <c r="AC10" i="2"/>
  <c r="AB10" i="2"/>
  <c r="AA10" i="2"/>
  <c r="Z10" i="2"/>
  <c r="Y10" i="2"/>
  <c r="X10" i="2"/>
  <c r="W10" i="2"/>
  <c r="R10" i="2"/>
  <c r="Q10" i="2"/>
  <c r="P10" i="2"/>
  <c r="O10" i="2"/>
  <c r="N10" i="2"/>
  <c r="M10" i="2"/>
  <c r="L10" i="2"/>
  <c r="K10" i="2"/>
  <c r="I10" i="2"/>
  <c r="H10" i="2"/>
  <c r="F10" i="2"/>
  <c r="E10" i="2"/>
  <c r="D10" i="2"/>
  <c r="AX9" i="2"/>
  <c r="AW9" i="2"/>
  <c r="AV9" i="2"/>
  <c r="AH9" i="2"/>
  <c r="AG9" i="2"/>
  <c r="AF9" i="2"/>
  <c r="J9" i="2"/>
  <c r="G9" i="2"/>
  <c r="AX8" i="2"/>
  <c r="AW8" i="2"/>
  <c r="AV8" i="2"/>
  <c r="AG8" i="2"/>
  <c r="AF8" i="2"/>
  <c r="J8" i="2"/>
  <c r="G8" i="2"/>
  <c r="AX7" i="2"/>
  <c r="AW7" i="2"/>
  <c r="AV7" i="2"/>
  <c r="AH7" i="2"/>
  <c r="AG7" i="2"/>
  <c r="J7" i="2"/>
  <c r="G7" i="2"/>
  <c r="W21" i="1"/>
  <c r="V21" i="1"/>
  <c r="U21" i="1"/>
  <c r="T21" i="1"/>
  <c r="S21" i="1"/>
  <c r="R21" i="1"/>
  <c r="Q21" i="1"/>
  <c r="P21" i="1"/>
  <c r="O21" i="1"/>
  <c r="N21" i="1"/>
  <c r="M21" i="1"/>
  <c r="K21" i="1"/>
  <c r="J21" i="1"/>
  <c r="I21" i="1"/>
  <c r="H21" i="1"/>
  <c r="F21" i="1"/>
  <c r="E21" i="1"/>
  <c r="X20" i="1"/>
  <c r="G20" i="1"/>
  <c r="X19" i="1"/>
  <c r="G19" i="1"/>
  <c r="X18" i="1"/>
  <c r="G18" i="1"/>
  <c r="X17" i="1"/>
  <c r="W16" i="1"/>
  <c r="V16" i="1"/>
  <c r="U16" i="1"/>
  <c r="T16" i="1"/>
  <c r="S16" i="1"/>
  <c r="R16" i="1"/>
  <c r="Q16" i="1"/>
  <c r="P16" i="1"/>
  <c r="O16" i="1"/>
  <c r="N16" i="1"/>
  <c r="M16" i="1"/>
  <c r="K16" i="1"/>
  <c r="J16" i="1"/>
  <c r="I16" i="1"/>
  <c r="H16" i="1"/>
  <c r="F16" i="1"/>
  <c r="E16" i="1"/>
  <c r="X15" i="1"/>
  <c r="G15" i="1"/>
  <c r="X14" i="1"/>
  <c r="L14" i="1"/>
  <c r="G14" i="1"/>
  <c r="X13" i="1"/>
  <c r="L13" i="1"/>
  <c r="X12" i="1"/>
  <c r="L12" i="1"/>
  <c r="G12" i="1"/>
  <c r="W11" i="1"/>
  <c r="V11" i="1"/>
  <c r="U11" i="1"/>
  <c r="T11" i="1"/>
  <c r="S11" i="1"/>
  <c r="R11" i="1"/>
  <c r="Q11" i="1"/>
  <c r="P11" i="1"/>
  <c r="O11" i="1"/>
  <c r="N11" i="1"/>
  <c r="M11" i="1"/>
  <c r="K11" i="1"/>
  <c r="J11" i="1"/>
  <c r="I11" i="1"/>
  <c r="H11" i="1"/>
  <c r="F11" i="1"/>
  <c r="X10" i="1"/>
  <c r="L10" i="1"/>
  <c r="X9" i="1"/>
  <c r="G9" i="1"/>
  <c r="X8" i="1"/>
  <c r="L8" i="1"/>
  <c r="G8" i="1"/>
  <c r="AH18" i="5" l="1"/>
  <c r="AB19" i="5"/>
  <c r="AH11" i="5"/>
  <c r="CA17" i="4"/>
  <c r="CA19" i="4"/>
  <c r="CL19" i="4" s="1"/>
  <c r="L16" i="1"/>
  <c r="L21" i="1"/>
  <c r="AJ18" i="3"/>
  <c r="X18" i="3"/>
  <c r="AJ8" i="3"/>
  <c r="X9" i="3"/>
  <c r="AJ12" i="3"/>
  <c r="AJ14" i="3"/>
  <c r="AE15" i="3"/>
  <c r="AY18" i="2"/>
  <c r="AY17" i="2"/>
  <c r="J20" i="2"/>
  <c r="BA9" i="2"/>
  <c r="AI20" i="3"/>
  <c r="AJ7" i="3"/>
  <c r="AJ9" i="3"/>
  <c r="AC21" i="3"/>
  <c r="X11" i="3"/>
  <c r="X16" i="3"/>
  <c r="X19" i="3"/>
  <c r="BT21" i="4"/>
  <c r="F14" i="5"/>
  <c r="P20" i="4"/>
  <c r="BA18" i="2"/>
  <c r="AN21" i="2"/>
  <c r="AR21" i="2"/>
  <c r="AY19" i="2"/>
  <c r="F19" i="5"/>
  <c r="Y19" i="5"/>
  <c r="N21" i="4"/>
  <c r="S21" i="4"/>
  <c r="BG21" i="4"/>
  <c r="E21" i="4"/>
  <c r="P10" i="4"/>
  <c r="AQ20" i="4"/>
  <c r="AS20" i="4" s="1"/>
  <c r="AM18" i="4"/>
  <c r="J20" i="4"/>
  <c r="H21" i="4"/>
  <c r="I21" i="4"/>
  <c r="BV21" i="4"/>
  <c r="AY8" i="2"/>
  <c r="AY9" i="2"/>
  <c r="AZ8" i="2"/>
  <c r="AZ9" i="2"/>
  <c r="G15" i="2"/>
  <c r="BA11" i="2"/>
  <c r="BA12" i="2"/>
  <c r="AS21" i="2"/>
  <c r="AZ11" i="2"/>
  <c r="AZ13" i="2"/>
  <c r="BA14" i="2"/>
  <c r="AV20" i="2"/>
  <c r="BA19" i="2"/>
  <c r="AX20" i="2"/>
  <c r="AZ17" i="2"/>
  <c r="AZ18" i="2"/>
  <c r="AL21" i="3"/>
  <c r="AZ16" i="2"/>
  <c r="I21" i="2"/>
  <c r="D21" i="2"/>
  <c r="E21" i="2"/>
  <c r="AT21" i="2"/>
  <c r="L21" i="2"/>
  <c r="AM21" i="2"/>
  <c r="AQ21" i="2"/>
  <c r="AU21" i="2"/>
  <c r="AZ14" i="2"/>
  <c r="W20" i="5"/>
  <c r="I9" i="5"/>
  <c r="X20" i="5"/>
  <c r="AW20" i="5"/>
  <c r="J22" i="1"/>
  <c r="O22" i="1"/>
  <c r="S22" i="1"/>
  <c r="AO21" i="4"/>
  <c r="AY21" i="4"/>
  <c r="F21" i="4"/>
  <c r="K21" i="4"/>
  <c r="Q21" i="4"/>
  <c r="X13" i="3"/>
  <c r="AK21" i="3"/>
  <c r="E21" i="3"/>
  <c r="I21" i="3"/>
  <c r="V21" i="3"/>
  <c r="AG21" i="3"/>
  <c r="BA13" i="2"/>
  <c r="Y14" i="5"/>
  <c r="AB14" i="5"/>
  <c r="AE21" i="4"/>
  <c r="AJ21" i="4"/>
  <c r="G21" i="4"/>
  <c r="L21" i="4"/>
  <c r="BW21" i="4"/>
  <c r="J15" i="4"/>
  <c r="AP21" i="4"/>
  <c r="F21" i="3"/>
  <c r="J21" i="3"/>
  <c r="S21" i="3"/>
  <c r="AJ11" i="3"/>
  <c r="K21" i="3"/>
  <c r="P21" i="3"/>
  <c r="D21" i="3"/>
  <c r="Q21" i="3"/>
  <c r="AI15" i="3"/>
  <c r="AX15" i="2"/>
  <c r="AZ12" i="2"/>
  <c r="O21" i="2"/>
  <c r="AV15" i="2"/>
  <c r="J15" i="2"/>
  <c r="AW15" i="2"/>
  <c r="Z20" i="5"/>
  <c r="AA20" i="5"/>
  <c r="AZ20" i="5"/>
  <c r="AQ15" i="4"/>
  <c r="AS15" i="4" s="1"/>
  <c r="BY21" i="4"/>
  <c r="BA21" i="4"/>
  <c r="BF21" i="4"/>
  <c r="BU21" i="4"/>
  <c r="BZ21" i="4"/>
  <c r="AL21" i="4"/>
  <c r="AX21" i="4"/>
  <c r="BM21" i="4"/>
  <c r="CF21" i="4"/>
  <c r="CA11" i="4"/>
  <c r="CL11" i="4" s="1"/>
  <c r="O21" i="4"/>
  <c r="M22" i="1"/>
  <c r="Q22" i="1"/>
  <c r="N22" i="1"/>
  <c r="R22" i="1"/>
  <c r="U22" i="1"/>
  <c r="AQ10" i="4"/>
  <c r="AS10" i="4" s="1"/>
  <c r="AB9" i="5"/>
  <c r="X21" i="2"/>
  <c r="X8" i="3"/>
  <c r="AE10" i="3"/>
  <c r="AN21" i="3"/>
  <c r="L11" i="1"/>
  <c r="AY7" i="2"/>
  <c r="AX10" i="2"/>
  <c r="M21" i="2"/>
  <c r="AZ7" i="2"/>
  <c r="AV10" i="2"/>
  <c r="AW10" i="2"/>
  <c r="Y21" i="2"/>
  <c r="G10" i="2"/>
  <c r="W10" i="3"/>
  <c r="G21" i="3"/>
  <c r="T21" i="3"/>
  <c r="O21" i="3"/>
  <c r="BH21" i="4"/>
  <c r="BC21" i="4"/>
  <c r="AI10" i="3"/>
  <c r="AG10" i="2"/>
  <c r="AD21" i="2"/>
  <c r="X11" i="1"/>
  <c r="K22" i="1"/>
  <c r="P22" i="1"/>
  <c r="T22" i="1"/>
  <c r="W22" i="1"/>
  <c r="G11" i="1"/>
  <c r="X12" i="3"/>
  <c r="X14" i="3"/>
  <c r="X17" i="3"/>
  <c r="H21" i="3"/>
  <c r="AS7" i="4"/>
  <c r="CA7" i="4" s="1"/>
  <c r="CL7" i="4" s="1"/>
  <c r="AK21" i="4"/>
  <c r="M11" i="4"/>
  <c r="AM11" i="4" s="1"/>
  <c r="AS13" i="4"/>
  <c r="CA13" i="4" s="1"/>
  <c r="CL13" i="4" s="1"/>
  <c r="AZ21" i="4"/>
  <c r="CG21" i="4"/>
  <c r="AS16" i="4"/>
  <c r="CA16" i="4" s="1"/>
  <c r="CL16" i="4" s="1"/>
  <c r="W20" i="4"/>
  <c r="CJ21" i="4"/>
  <c r="E20" i="5"/>
  <c r="AG15" i="2"/>
  <c r="F21" i="2"/>
  <c r="AO21" i="2"/>
  <c r="M10" i="3"/>
  <c r="AH21" i="3"/>
  <c r="BA7" i="2"/>
  <c r="G20" i="2"/>
  <c r="AP21" i="2"/>
  <c r="F22" i="1"/>
  <c r="X21" i="1"/>
  <c r="I22" i="1"/>
  <c r="BA8" i="2"/>
  <c r="J10" i="2"/>
  <c r="AY12" i="2"/>
  <c r="AY13" i="2"/>
  <c r="N21" i="2"/>
  <c r="M15" i="3"/>
  <c r="U21" i="3"/>
  <c r="N21" i="3"/>
  <c r="AD21" i="3"/>
  <c r="P15" i="4"/>
  <c r="CA18" i="4"/>
  <c r="CL18" i="4" s="1"/>
  <c r="I19" i="5"/>
  <c r="AH17" i="5"/>
  <c r="X16" i="1"/>
  <c r="AY11" i="2"/>
  <c r="BA16" i="2"/>
  <c r="AA21" i="2"/>
  <c r="G16" i="1"/>
  <c r="H22" i="1"/>
  <c r="X7" i="3"/>
  <c r="AJ13" i="3"/>
  <c r="AM21" i="3"/>
  <c r="J10" i="4"/>
  <c r="CA14" i="4"/>
  <c r="CL14" i="4" s="1"/>
  <c r="CD21" i="4"/>
  <c r="O9" i="5"/>
  <c r="AE9" i="5"/>
  <c r="AH8" i="5"/>
  <c r="O19" i="5"/>
  <c r="AO18" i="5"/>
  <c r="AR18" i="5" s="1"/>
  <c r="AU18" i="5" s="1"/>
  <c r="AX18" i="5" s="1"/>
  <c r="BA18" i="5" s="1"/>
  <c r="AE19" i="5"/>
  <c r="AH15" i="5"/>
  <c r="AO15" i="5" s="1"/>
  <c r="AR15" i="5" s="1"/>
  <c r="R19" i="5"/>
  <c r="L19" i="5"/>
  <c r="AH13" i="5"/>
  <c r="AO13" i="5" s="1"/>
  <c r="AR13" i="5" s="1"/>
  <c r="AU13" i="5" s="1"/>
  <c r="AX13" i="5" s="1"/>
  <c r="I14" i="5"/>
  <c r="AT20" i="5"/>
  <c r="AH10" i="5"/>
  <c r="AO10" i="5" s="1"/>
  <c r="L14" i="5"/>
  <c r="AN20" i="5"/>
  <c r="Y9" i="5"/>
  <c r="AV20" i="5"/>
  <c r="AS20" i="5"/>
  <c r="R9" i="5"/>
  <c r="M20" i="5"/>
  <c r="L9" i="5"/>
  <c r="AH6" i="5"/>
  <c r="AO6" i="5" s="1"/>
  <c r="AR6" i="5" s="1"/>
  <c r="AU6" i="5" s="1"/>
  <c r="AX6" i="5" s="1"/>
  <c r="F9" i="5"/>
  <c r="D20" i="5"/>
  <c r="AD21" i="4"/>
  <c r="AM19" i="4"/>
  <c r="CK20" i="4"/>
  <c r="BX20" i="4"/>
  <c r="BO20" i="4"/>
  <c r="BE21" i="4"/>
  <c r="CE21" i="4"/>
  <c r="CA12" i="4"/>
  <c r="CL12" i="4" s="1"/>
  <c r="BO15" i="4"/>
  <c r="BB15" i="4"/>
  <c r="W15" i="4"/>
  <c r="AM12" i="4"/>
  <c r="BX15" i="4"/>
  <c r="BK15" i="4"/>
  <c r="BO10" i="4"/>
  <c r="CA9" i="4"/>
  <c r="CL9" i="4" s="1"/>
  <c r="BI21" i="4"/>
  <c r="AM9" i="4"/>
  <c r="BK10" i="4"/>
  <c r="CA8" i="4"/>
  <c r="CL8" i="4" s="1"/>
  <c r="BB10" i="4"/>
  <c r="AF21" i="4"/>
  <c r="M8" i="4"/>
  <c r="AM8" i="4" s="1"/>
  <c r="CK10" i="4"/>
  <c r="BX10" i="4"/>
  <c r="V21" i="4"/>
  <c r="AM7" i="4"/>
  <c r="W10" i="4"/>
  <c r="W15" i="3"/>
  <c r="R21" i="3"/>
  <c r="AH20" i="2"/>
  <c r="Q21" i="2"/>
  <c r="AE21" i="2"/>
  <c r="AC21" i="2"/>
  <c r="AB21" i="2"/>
  <c r="AF15" i="2"/>
  <c r="W21" i="2"/>
  <c r="P21" i="2"/>
  <c r="AH15" i="2"/>
  <c r="R21" i="2"/>
  <c r="H21" i="2"/>
  <c r="K21" i="2"/>
  <c r="G21" i="1"/>
  <c r="V22" i="1"/>
  <c r="AE14" i="5"/>
  <c r="R14" i="5"/>
  <c r="Q20" i="5"/>
  <c r="P20" i="5"/>
  <c r="E22" i="1"/>
  <c r="AQ20" i="5"/>
  <c r="AP20" i="5"/>
  <c r="AD20" i="5"/>
  <c r="AG9" i="5"/>
  <c r="AH7" i="5"/>
  <c r="AO7" i="5" s="1"/>
  <c r="J20" i="5"/>
  <c r="AF9" i="5"/>
  <c r="CB21" i="4"/>
  <c r="BL21" i="4"/>
  <c r="BD21" i="4"/>
  <c r="AR21" i="4"/>
  <c r="AI10" i="4"/>
  <c r="T21" i="4"/>
  <c r="R21" i="4"/>
  <c r="D21" i="4"/>
  <c r="AF21" i="3"/>
  <c r="AF10" i="2"/>
  <c r="AH10" i="2"/>
  <c r="Z21" i="2"/>
  <c r="N20" i="5"/>
  <c r="O14" i="5"/>
  <c r="CI21" i="4"/>
  <c r="BJ21" i="4"/>
  <c r="AM14" i="4"/>
  <c r="L21" i="3"/>
  <c r="AY20" i="5"/>
  <c r="AM20" i="5"/>
  <c r="AG14" i="5"/>
  <c r="AC20" i="5"/>
  <c r="K20" i="5"/>
  <c r="AF14" i="5"/>
  <c r="H20" i="5"/>
  <c r="AH12" i="5"/>
  <c r="AO12" i="5" s="1"/>
  <c r="G20" i="5"/>
  <c r="CH21" i="4"/>
  <c r="CK15" i="4"/>
  <c r="CC21" i="4"/>
  <c r="BN21" i="4"/>
  <c r="AH21" i="4"/>
  <c r="AG21" i="4"/>
  <c r="AI15" i="4"/>
  <c r="AC21" i="4"/>
  <c r="AB21" i="4"/>
  <c r="U21" i="4"/>
  <c r="AG20" i="2"/>
  <c r="BA17" i="2"/>
  <c r="AF20" i="2"/>
  <c r="M20" i="3"/>
  <c r="BK20" i="4"/>
  <c r="AI20" i="4"/>
  <c r="M20" i="4"/>
  <c r="AF19" i="5"/>
  <c r="AG19" i="5"/>
  <c r="AH16" i="5"/>
  <c r="AO16" i="5" s="1"/>
  <c r="AE20" i="3"/>
  <c r="W20" i="3"/>
  <c r="AJ15" i="3" l="1"/>
  <c r="L22" i="1"/>
  <c r="AO17" i="5"/>
  <c r="AR17" i="5" s="1"/>
  <c r="AU17" i="5" s="1"/>
  <c r="AX17" i="5" s="1"/>
  <c r="AO8" i="5"/>
  <c r="AR8" i="5" s="1"/>
  <c r="AU8" i="5" s="1"/>
  <c r="AX8" i="5" s="1"/>
  <c r="AR10" i="5"/>
  <c r="AU10" i="5" s="1"/>
  <c r="AX10" i="5" s="1"/>
  <c r="BA10" i="5" s="1"/>
  <c r="AY20" i="2"/>
  <c r="F20" i="5"/>
  <c r="AJ10" i="3"/>
  <c r="AY10" i="2"/>
  <c r="BA15" i="2"/>
  <c r="P21" i="4"/>
  <c r="I20" i="5"/>
  <c r="AB20" i="5"/>
  <c r="BA20" i="2"/>
  <c r="J21" i="2"/>
  <c r="AZ10" i="2"/>
  <c r="AZ20" i="2"/>
  <c r="AZ15" i="2"/>
  <c r="X15" i="3"/>
  <c r="G21" i="2"/>
  <c r="Y20" i="5"/>
  <c r="J21" i="4"/>
  <c r="AI21" i="3"/>
  <c r="AX21" i="2"/>
  <c r="AY15" i="2"/>
  <c r="AV21" i="2"/>
  <c r="AW21" i="2"/>
  <c r="X22" i="1"/>
  <c r="AQ21" i="4"/>
  <c r="AS21" i="4" s="1"/>
  <c r="BO21" i="4"/>
  <c r="M21" i="3"/>
  <c r="X10" i="3"/>
  <c r="AG21" i="2"/>
  <c r="BB21" i="4"/>
  <c r="BA10" i="2"/>
  <c r="CA20" i="4"/>
  <c r="M15" i="4"/>
  <c r="G22" i="1"/>
  <c r="AO11" i="5"/>
  <c r="AR11" i="5" s="1"/>
  <c r="AU11" i="5" s="1"/>
  <c r="AX11" i="5" s="1"/>
  <c r="BA6" i="5"/>
  <c r="O20" i="5"/>
  <c r="AU15" i="5"/>
  <c r="AX15" i="5" s="1"/>
  <c r="AE20" i="5"/>
  <c r="AH19" i="5"/>
  <c r="BA13" i="5"/>
  <c r="L20" i="5"/>
  <c r="R20" i="5"/>
  <c r="AH9" i="5"/>
  <c r="AM20" i="4"/>
  <c r="W21" i="4"/>
  <c r="BX21" i="4"/>
  <c r="BK21" i="4"/>
  <c r="M10" i="4"/>
  <c r="CL10" i="4"/>
  <c r="CA10" i="4"/>
  <c r="AH21" i="2"/>
  <c r="AF20" i="5"/>
  <c r="AR7" i="5"/>
  <c r="AU7" i="5" s="1"/>
  <c r="AX7" i="5" s="1"/>
  <c r="AG20" i="5"/>
  <c r="AM10" i="4"/>
  <c r="AF21" i="2"/>
  <c r="AH14" i="5"/>
  <c r="AR12" i="5"/>
  <c r="AU12" i="5" s="1"/>
  <c r="AX12" i="5" s="1"/>
  <c r="CK21" i="4"/>
  <c r="CL15" i="4"/>
  <c r="CA15" i="4"/>
  <c r="AI21" i="4"/>
  <c r="AM15" i="4"/>
  <c r="CL17" i="4"/>
  <c r="CL20" i="4" s="1"/>
  <c r="AR16" i="5"/>
  <c r="AU16" i="5" s="1"/>
  <c r="AE21" i="3"/>
  <c r="AJ20" i="3"/>
  <c r="W21" i="3"/>
  <c r="X20" i="3"/>
  <c r="AO19" i="5" l="1"/>
  <c r="AR19" i="5" s="1"/>
  <c r="AO9" i="5"/>
  <c r="AR9" i="5" s="1"/>
  <c r="BA17" i="5"/>
  <c r="BA8" i="5"/>
  <c r="AJ21" i="3"/>
  <c r="AY21" i="2"/>
  <c r="BA21" i="2"/>
  <c r="AZ21" i="2"/>
  <c r="BA15" i="5"/>
  <c r="AO14" i="5"/>
  <c r="AR14" i="5" s="1"/>
  <c r="M21" i="4"/>
  <c r="X21" i="3"/>
  <c r="BA11" i="5"/>
  <c r="AU19" i="5"/>
  <c r="AH20" i="5"/>
  <c r="CA21" i="4"/>
  <c r="AU9" i="5"/>
  <c r="AX9" i="5" s="1"/>
  <c r="BA7" i="5"/>
  <c r="AU14" i="5"/>
  <c r="AX14" i="5" s="1"/>
  <c r="BA12" i="5"/>
  <c r="CL21" i="4"/>
  <c r="AM21" i="4"/>
  <c r="AX16" i="5"/>
  <c r="AX19" i="5" l="1"/>
  <c r="AX20" i="5" s="1"/>
  <c r="AO20" i="5"/>
  <c r="AR20" i="5" s="1"/>
  <c r="BA9" i="5"/>
  <c r="AU20" i="5"/>
  <c r="BA14" i="5"/>
  <c r="BA16" i="5"/>
  <c r="BA19" i="5" l="1"/>
  <c r="BA20" i="5" l="1"/>
</calcChain>
</file>

<file path=xl/sharedStrings.xml><?xml version="1.0" encoding="utf-8"?>
<sst xmlns="http://schemas.openxmlformats.org/spreadsheetml/2006/main" count="831" uniqueCount="346">
  <si>
    <t>地</t>
  </si>
  <si>
    <t xml:space="preserve"> </t>
  </si>
  <si>
    <t>合計</t>
  </si>
  <si>
    <t>区</t>
  </si>
  <si>
    <t>気　　仙　　沼</t>
  </si>
  <si>
    <t>気 仙 沼 冷 凍</t>
  </si>
  <si>
    <t>気仙沼センター</t>
  </si>
  <si>
    <t>（気仙沼計）</t>
  </si>
  <si>
    <t>女　　　　　川</t>
  </si>
  <si>
    <t>石</t>
  </si>
  <si>
    <t>渡　　　　　波</t>
  </si>
  <si>
    <t>〃</t>
  </si>
  <si>
    <t>石 巻 市 蒲 鉾</t>
  </si>
  <si>
    <t>（石　巻　計）</t>
  </si>
  <si>
    <t>塩 釜 市 団 地</t>
  </si>
  <si>
    <t>塩 釜 魚 市 場</t>
  </si>
  <si>
    <t xml:space="preserve">  長期共済（組合元受分保有高）</t>
  </si>
  <si>
    <t>計</t>
  </si>
  <si>
    <t>定期積金</t>
  </si>
  <si>
    <t>件数</t>
  </si>
  <si>
    <t>共済金額</t>
  </si>
  <si>
    <t>うち系統分</t>
  </si>
  <si>
    <t xml:space="preserve">   </t>
  </si>
  <si>
    <t>その他</t>
  </si>
  <si>
    <t>合　　計</t>
  </si>
  <si>
    <t>鮮魚類</t>
  </si>
  <si>
    <t>海藻類</t>
  </si>
  <si>
    <t>冷凍品</t>
  </si>
  <si>
    <t xml:space="preserve">     </t>
  </si>
  <si>
    <t xml:space="preserve">  </t>
  </si>
  <si>
    <t>減価償却</t>
  </si>
  <si>
    <t>負債合計</t>
  </si>
  <si>
    <t>特  別</t>
  </si>
  <si>
    <t>手形貸付金</t>
  </si>
  <si>
    <t>証書貸付金</t>
  </si>
  <si>
    <t>当座貸越</t>
  </si>
  <si>
    <t>累 計 額</t>
  </si>
  <si>
    <t>固定資産</t>
  </si>
  <si>
    <t>外部出資</t>
  </si>
  <si>
    <t>資産合計</t>
  </si>
  <si>
    <t>手形借入金</t>
  </si>
  <si>
    <t>証書借入金</t>
  </si>
  <si>
    <t>支払手形</t>
  </si>
  <si>
    <t>出資金</t>
  </si>
  <si>
    <t>当期剰余金</t>
  </si>
  <si>
    <t>事業収益</t>
  </si>
  <si>
    <t>事業直接費</t>
  </si>
  <si>
    <t>事業総利益</t>
  </si>
  <si>
    <t>うち人件費</t>
  </si>
  <si>
    <t>繰延
税金
資産</t>
    <rPh sb="0" eb="2">
      <t>クリノベ</t>
    </rPh>
    <rPh sb="3" eb="5">
      <t>ゼイキン</t>
    </rPh>
    <rPh sb="6" eb="8">
      <t>シサン</t>
    </rPh>
    <phoneticPr fontId="2"/>
  </si>
  <si>
    <t>繰延
資産</t>
    <rPh sb="0" eb="2">
      <t>クリノベ</t>
    </rPh>
    <rPh sb="4" eb="6">
      <t>シサン</t>
    </rPh>
    <phoneticPr fontId="2"/>
  </si>
  <si>
    <t>県     計</t>
    <rPh sb="0" eb="1">
      <t>ケン</t>
    </rPh>
    <rPh sb="6" eb="7">
      <t>ケイ</t>
    </rPh>
    <phoneticPr fontId="1"/>
  </si>
  <si>
    <t>県    計</t>
    <rPh sb="0" eb="1">
      <t>ケン</t>
    </rPh>
    <rPh sb="5" eb="6">
      <t>ケイ</t>
    </rPh>
    <phoneticPr fontId="1"/>
  </si>
  <si>
    <t>地
区</t>
    <rPh sb="0" eb="5">
      <t>チク</t>
    </rPh>
    <phoneticPr fontId="1"/>
  </si>
  <si>
    <t>信　　　  　用　　　  　事　　　  　業　　　  　資　　　  　産</t>
    <phoneticPr fontId="1"/>
  </si>
  <si>
    <t>共 済 事 業 資 産</t>
    <phoneticPr fontId="1"/>
  </si>
  <si>
    <t>固　　　　　定　　　　　資　　　　　産</t>
    <phoneticPr fontId="1"/>
  </si>
  <si>
    <t>信  用  事　業　負　債</t>
    <phoneticPr fontId="1"/>
  </si>
  <si>
    <t>共  　済　  事　  業　  負　  債</t>
    <phoneticPr fontId="1"/>
  </si>
  <si>
    <t>流        　　　　動　　　　        負　　　　        債</t>
    <phoneticPr fontId="1"/>
  </si>
  <si>
    <t>現 金</t>
    <phoneticPr fontId="1"/>
  </si>
  <si>
    <t>有 価
証 券</t>
    <rPh sb="0" eb="3">
      <t>ユウカ</t>
    </rPh>
    <rPh sb="5" eb="8">
      <t>ショウケン</t>
    </rPh>
    <phoneticPr fontId="1"/>
  </si>
  <si>
    <t>共　済
貸付金</t>
    <rPh sb="0" eb="3">
      <t>キョウサイ</t>
    </rPh>
    <rPh sb="5" eb="8">
      <t>カシツケキン</t>
    </rPh>
    <phoneticPr fontId="1"/>
  </si>
  <si>
    <t>その他の
流動資産</t>
    <rPh sb="6" eb="8">
      <t>リュウドウ</t>
    </rPh>
    <rPh sb="8" eb="10">
      <t>シサン</t>
    </rPh>
    <phoneticPr fontId="1"/>
  </si>
  <si>
    <t>借     入     金</t>
    <rPh sb="0" eb="13">
      <t>カリイレキン</t>
    </rPh>
    <phoneticPr fontId="1"/>
  </si>
  <si>
    <t>未 経 過
共    済
付加収入</t>
    <rPh sb="13" eb="15">
      <t>フカ</t>
    </rPh>
    <rPh sb="15" eb="17">
      <t>シュウニュウ</t>
    </rPh>
    <phoneticPr fontId="1"/>
  </si>
  <si>
    <t>経済事業
未 払 金</t>
    <rPh sb="6" eb="11">
      <t>ミバライキン</t>
    </rPh>
    <phoneticPr fontId="1"/>
  </si>
  <si>
    <t>短    期
借 入 金</t>
    <phoneticPr fontId="1"/>
  </si>
  <si>
    <t>経済事業
雑 負 債</t>
    <rPh sb="6" eb="7">
      <t>ザツ</t>
    </rPh>
    <rPh sb="8" eb="11">
      <t>フサイ</t>
    </rPh>
    <phoneticPr fontId="1"/>
  </si>
  <si>
    <t>賦 課 金
仮 受 金</t>
    <rPh sb="7" eb="12">
      <t>カリウケキン</t>
    </rPh>
    <phoneticPr fontId="1"/>
  </si>
  <si>
    <t>その他の
流動負債</t>
    <rPh sb="6" eb="8">
      <t>リュウドウ</t>
    </rPh>
    <rPh sb="8" eb="10">
      <t>フサイ</t>
    </rPh>
    <phoneticPr fontId="1"/>
  </si>
  <si>
    <t>長　期</t>
    <rPh sb="0" eb="3">
      <t>チョウキ</t>
    </rPh>
    <phoneticPr fontId="1"/>
  </si>
  <si>
    <t>受　入</t>
    <rPh sb="0" eb="3">
      <t>ウケイレ</t>
    </rPh>
    <phoneticPr fontId="1"/>
  </si>
  <si>
    <t>再評価</t>
    <rPh sb="0" eb="3">
      <t>サイヒョウカ</t>
    </rPh>
    <phoneticPr fontId="2"/>
  </si>
  <si>
    <t>当期未処分剰余金</t>
    <rPh sb="3" eb="5">
      <t>ショブン</t>
    </rPh>
    <rPh sb="5" eb="8">
      <t>ジョウヨキン</t>
    </rPh>
    <phoneticPr fontId="1"/>
  </si>
  <si>
    <t>小　　計</t>
    <phoneticPr fontId="1"/>
  </si>
  <si>
    <t>仮 勘 定</t>
    <phoneticPr fontId="1"/>
  </si>
  <si>
    <t>小  　計</t>
    <phoneticPr fontId="1"/>
  </si>
  <si>
    <t>差額金</t>
    <rPh sb="0" eb="2">
      <t>サガク</t>
    </rPh>
    <rPh sb="2" eb="3">
      <t>キン</t>
    </rPh>
    <phoneticPr fontId="2"/>
  </si>
  <si>
    <t>気
仙
沼</t>
    <rPh sb="0" eb="7">
      <t>ケセンヌマ</t>
    </rPh>
    <phoneticPr fontId="1"/>
  </si>
  <si>
    <t>気仙沼</t>
    <phoneticPr fontId="1"/>
  </si>
  <si>
    <t>気仙沼冷凍</t>
    <phoneticPr fontId="1"/>
  </si>
  <si>
    <t>気仙沼センター</t>
    <phoneticPr fontId="1"/>
  </si>
  <si>
    <t>石
巻</t>
    <rPh sb="0" eb="8">
      <t>イシノマキ</t>
    </rPh>
    <phoneticPr fontId="1"/>
  </si>
  <si>
    <t>女川</t>
    <phoneticPr fontId="1"/>
  </si>
  <si>
    <t>渡波</t>
    <phoneticPr fontId="1"/>
  </si>
  <si>
    <t>石巻市蒲鉾</t>
    <phoneticPr fontId="1"/>
  </si>
  <si>
    <t>巻</t>
    <rPh sb="0" eb="1">
      <t>マキ</t>
    </rPh>
    <phoneticPr fontId="1"/>
  </si>
  <si>
    <t>（石巻計）</t>
    <phoneticPr fontId="1"/>
  </si>
  <si>
    <t>　県　　　　計　</t>
    <phoneticPr fontId="1"/>
  </si>
  <si>
    <t>　県　　　　  計　</t>
    <phoneticPr fontId="1"/>
  </si>
  <si>
    <t>県      計</t>
    <rPh sb="0" eb="1">
      <t>ケン</t>
    </rPh>
    <rPh sb="7" eb="8">
      <t>ケイ</t>
    </rPh>
    <phoneticPr fontId="1"/>
  </si>
  <si>
    <t>未払
法人税等</t>
    <rPh sb="0" eb="2">
      <t>ミハラ</t>
    </rPh>
    <rPh sb="4" eb="7">
      <t>ホウジンゼイ</t>
    </rPh>
    <rPh sb="7" eb="8">
      <t>トウ</t>
    </rPh>
    <phoneticPr fontId="1"/>
  </si>
  <si>
    <t>諸　　　引　　　当　　　金</t>
    <rPh sb="0" eb="1">
      <t>ショ</t>
    </rPh>
    <rPh sb="4" eb="5">
      <t>イン</t>
    </rPh>
    <rPh sb="8" eb="9">
      <t>トウ</t>
    </rPh>
    <rPh sb="12" eb="13">
      <t>キン</t>
    </rPh>
    <phoneticPr fontId="1"/>
  </si>
  <si>
    <t>その他の
固定負債</t>
    <rPh sb="2" eb="3">
      <t>タ</t>
    </rPh>
    <rPh sb="5" eb="7">
      <t>コテイ</t>
    </rPh>
    <rPh sb="7" eb="9">
      <t>フサイ</t>
    </rPh>
    <phoneticPr fontId="1"/>
  </si>
  <si>
    <t>未収
共済
付加
収入</t>
    <rPh sb="6" eb="8">
      <t>フカ</t>
    </rPh>
    <rPh sb="9" eb="11">
      <t>シュウニュウ</t>
    </rPh>
    <phoneticPr fontId="1"/>
  </si>
  <si>
    <t>組 合 員 数</t>
    <phoneticPr fontId="1"/>
  </si>
  <si>
    <t>役   　 員 　   数</t>
    <phoneticPr fontId="1"/>
  </si>
  <si>
    <t>部    　門   　 別    　職    　員　  　数</t>
    <phoneticPr fontId="1"/>
  </si>
  <si>
    <t>事業年度</t>
    <rPh sb="0" eb="2">
      <t>ジギョウ</t>
    </rPh>
    <rPh sb="2" eb="4">
      <t>ネンド</t>
    </rPh>
    <phoneticPr fontId="1"/>
  </si>
  <si>
    <t>常
勤
理
事</t>
    <rPh sb="0" eb="3">
      <t>ジョウキン</t>
    </rPh>
    <rPh sb="4" eb="7">
      <t>リジ</t>
    </rPh>
    <phoneticPr fontId="1"/>
  </si>
  <si>
    <t>左の
うち
員外
理事</t>
    <rPh sb="6" eb="7">
      <t>イン</t>
    </rPh>
    <rPh sb="7" eb="8">
      <t>インガイ</t>
    </rPh>
    <rPh sb="9" eb="11">
      <t>リジ</t>
    </rPh>
    <phoneticPr fontId="1"/>
  </si>
  <si>
    <t>監
事</t>
    <rPh sb="0" eb="5">
      <t>カンジ</t>
    </rPh>
    <phoneticPr fontId="1"/>
  </si>
  <si>
    <t>参
事</t>
    <rPh sb="0" eb="5">
      <t>サンジ</t>
    </rPh>
    <phoneticPr fontId="1"/>
  </si>
  <si>
    <t>会
計
主
任</t>
    <rPh sb="0" eb="3">
      <t>カイケイ</t>
    </rPh>
    <rPh sb="4" eb="7">
      <t>シュニン</t>
    </rPh>
    <phoneticPr fontId="1"/>
  </si>
  <si>
    <t>信
用</t>
    <rPh sb="0" eb="5">
      <t>シンヨウ</t>
    </rPh>
    <phoneticPr fontId="1"/>
  </si>
  <si>
    <t>共
済</t>
    <rPh sb="0" eb="5">
      <t>キョウサイ</t>
    </rPh>
    <phoneticPr fontId="1"/>
  </si>
  <si>
    <t>購
買</t>
    <rPh sb="0" eb="5">
      <t>コウバイ</t>
    </rPh>
    <phoneticPr fontId="1"/>
  </si>
  <si>
    <t>販
売</t>
    <rPh sb="0" eb="5">
      <t>ハンバイ</t>
    </rPh>
    <phoneticPr fontId="1"/>
  </si>
  <si>
    <t>製
氷
冷
凍
冷
蔵</t>
    <rPh sb="0" eb="3">
      <t>セイヒョウ</t>
    </rPh>
    <rPh sb="4" eb="7">
      <t>レイトウ</t>
    </rPh>
    <rPh sb="8" eb="11">
      <t>レイゾウ</t>
    </rPh>
    <phoneticPr fontId="1"/>
  </si>
  <si>
    <t>加
工
事
業</t>
    <rPh sb="0" eb="3">
      <t>カコウ</t>
    </rPh>
    <rPh sb="4" eb="7">
      <t>ジギョウ</t>
    </rPh>
    <phoneticPr fontId="1"/>
  </si>
  <si>
    <t>指
導
事
業</t>
    <rPh sb="0" eb="3">
      <t>シドウ</t>
    </rPh>
    <rPh sb="4" eb="7">
      <t>ジギョウ</t>
    </rPh>
    <phoneticPr fontId="1"/>
  </si>
  <si>
    <t>そ
の
他
の
事
業</t>
    <rPh sb="0" eb="5">
      <t>ソノタ</t>
    </rPh>
    <rPh sb="8" eb="11">
      <t>ジギョウ</t>
    </rPh>
    <phoneticPr fontId="1"/>
  </si>
  <si>
    <t>管
理</t>
    <rPh sb="0" eb="5">
      <t>カンリ</t>
    </rPh>
    <phoneticPr fontId="1"/>
  </si>
  <si>
    <t>計</t>
    <phoneticPr fontId="1"/>
  </si>
  <si>
    <t>組　 合 　名</t>
    <rPh sb="0" eb="7">
      <t>クミアイメイ</t>
    </rPh>
    <phoneticPr fontId="1"/>
  </si>
  <si>
    <t>4.1～ 3.31</t>
    <phoneticPr fontId="1"/>
  </si>
  <si>
    <t xml:space="preserve"> </t>
    <phoneticPr fontId="1"/>
  </si>
  <si>
    <t>（石　巻　計）</t>
    <phoneticPr fontId="1"/>
  </si>
  <si>
    <t>7.1～ 6.30</t>
    <phoneticPr fontId="1"/>
  </si>
  <si>
    <t>6.1～ 5.31</t>
    <phoneticPr fontId="1"/>
  </si>
  <si>
    <t>貯　　　　　　　　　　　金</t>
    <phoneticPr fontId="1"/>
  </si>
  <si>
    <t>貸   　　出　　   金</t>
    <phoneticPr fontId="1"/>
  </si>
  <si>
    <t>短期共済（組合元受分契約高）</t>
    <rPh sb="0" eb="2">
      <t>タンキ</t>
    </rPh>
    <phoneticPr fontId="1"/>
  </si>
  <si>
    <t xml:space="preserve">買         取         購         買         取         扱         高 </t>
    <rPh sb="0" eb="11">
      <t>カイト</t>
    </rPh>
    <rPh sb="20" eb="31">
      <t>コウバイ</t>
    </rPh>
    <rPh sb="40" eb="61">
      <t>トリアツカイダカ</t>
    </rPh>
    <phoneticPr fontId="1"/>
  </si>
  <si>
    <t xml:space="preserve">受         託         購         買         取         扱         高 </t>
    <rPh sb="0" eb="1">
      <t>ジュカイト</t>
    </rPh>
    <rPh sb="10" eb="11">
      <t>ジュタク</t>
    </rPh>
    <rPh sb="20" eb="31">
      <t>コウバイ</t>
    </rPh>
    <rPh sb="40" eb="61">
      <t>トリアツカイダカ</t>
    </rPh>
    <phoneticPr fontId="1"/>
  </si>
  <si>
    <t>普通厚生共済</t>
    <phoneticPr fontId="1"/>
  </si>
  <si>
    <t>生活総合共済</t>
    <phoneticPr fontId="1"/>
  </si>
  <si>
    <t>乗組員厚生共済</t>
    <rPh sb="3" eb="5">
      <t>コウセイ</t>
    </rPh>
    <rPh sb="5" eb="7">
      <t>キョウサイ</t>
    </rPh>
    <phoneticPr fontId="1"/>
  </si>
  <si>
    <t>火  災  共  済</t>
    <phoneticPr fontId="1"/>
  </si>
  <si>
    <t>石      油      類</t>
    <rPh sb="0" eb="8">
      <t>セキユ</t>
    </rPh>
    <rPh sb="14" eb="15">
      <t>ルイ</t>
    </rPh>
    <phoneticPr fontId="1"/>
  </si>
  <si>
    <t>資      材      類</t>
    <rPh sb="0" eb="8">
      <t>シザイ</t>
    </rPh>
    <rPh sb="14" eb="15">
      <t>ルイ</t>
    </rPh>
    <phoneticPr fontId="1"/>
  </si>
  <si>
    <t>計</t>
    <phoneticPr fontId="1"/>
  </si>
  <si>
    <t>資        材        類</t>
    <rPh sb="0" eb="10">
      <t>シザイ</t>
    </rPh>
    <rPh sb="18" eb="19">
      <t>ルイ</t>
    </rPh>
    <phoneticPr fontId="1"/>
  </si>
  <si>
    <t>当 座 性</t>
    <phoneticPr fontId="1"/>
  </si>
  <si>
    <t>定 期 性</t>
    <phoneticPr fontId="1"/>
  </si>
  <si>
    <t>短　  期</t>
    <phoneticPr fontId="1"/>
  </si>
  <si>
    <t>長　  期</t>
    <phoneticPr fontId="1"/>
  </si>
  <si>
    <t>受　入　高</t>
    <phoneticPr fontId="1"/>
  </si>
  <si>
    <t>供　給　高</t>
    <phoneticPr fontId="1"/>
  </si>
  <si>
    <t>県         計</t>
    <rPh sb="0" eb="1">
      <t>ケン</t>
    </rPh>
    <rPh sb="10" eb="11">
      <t>ケイ</t>
    </rPh>
    <phoneticPr fontId="1"/>
  </si>
  <si>
    <t>　県　　　　     計　</t>
    <phoneticPr fontId="1"/>
  </si>
  <si>
    <t>　県　　　　    計　</t>
    <phoneticPr fontId="1"/>
  </si>
  <si>
    <t>受      託      販      売      取      扱      高</t>
    <rPh sb="0" eb="8">
      <t>ジュタク</t>
    </rPh>
    <rPh sb="14" eb="22">
      <t>ハンバイ</t>
    </rPh>
    <rPh sb="28" eb="36">
      <t>トリアツカイ</t>
    </rPh>
    <rPh sb="42" eb="43">
      <t>タカ</t>
    </rPh>
    <phoneticPr fontId="1"/>
  </si>
  <si>
    <t>買      取      販      売      取      扱      高</t>
    <rPh sb="0" eb="1">
      <t>カイトジュタク</t>
    </rPh>
    <rPh sb="7" eb="8">
      <t>ト</t>
    </rPh>
    <rPh sb="14" eb="22">
      <t>ハンバイ</t>
    </rPh>
    <rPh sb="28" eb="36">
      <t>トリアツカイ</t>
    </rPh>
    <rPh sb="42" eb="43">
      <t>タカ</t>
    </rPh>
    <phoneticPr fontId="1"/>
  </si>
  <si>
    <t>冷  凍  品  販  売  高</t>
    <phoneticPr fontId="1"/>
  </si>
  <si>
    <t>受託加工取扱高</t>
    <rPh sb="4" eb="7">
      <t>トリアツカイダカ</t>
    </rPh>
    <phoneticPr fontId="1"/>
  </si>
  <si>
    <t>生 鮮 魚 貝 藻 類</t>
    <phoneticPr fontId="1"/>
  </si>
  <si>
    <t>水産製品・加工品</t>
    <phoneticPr fontId="1"/>
  </si>
  <si>
    <t>そ　の　他</t>
    <phoneticPr fontId="1"/>
  </si>
  <si>
    <t>餌  　　料</t>
    <phoneticPr fontId="1"/>
  </si>
  <si>
    <t>合　　　計</t>
    <phoneticPr fontId="1"/>
  </si>
  <si>
    <t>金　   額</t>
    <phoneticPr fontId="1"/>
  </si>
  <si>
    <t>貝 類</t>
    <phoneticPr fontId="1"/>
  </si>
  <si>
    <t>貝類</t>
    <phoneticPr fontId="1"/>
  </si>
  <si>
    <t>(凍結及び保管料）</t>
    <rPh sb="5" eb="8">
      <t>ホカンリョウ</t>
    </rPh>
    <phoneticPr fontId="1"/>
  </si>
  <si>
    <t>県        計</t>
    <rPh sb="0" eb="1">
      <t>ケン</t>
    </rPh>
    <rPh sb="9" eb="10">
      <t>ケイ</t>
    </rPh>
    <phoneticPr fontId="1"/>
  </si>
  <si>
    <t>固　  定　  負　  債</t>
    <phoneticPr fontId="1"/>
  </si>
  <si>
    <t>土  地</t>
    <phoneticPr fontId="1"/>
  </si>
  <si>
    <t>建　　設</t>
    <phoneticPr fontId="1"/>
  </si>
  <si>
    <t>無　　形</t>
    <phoneticPr fontId="1"/>
  </si>
  <si>
    <t>その他の</t>
    <phoneticPr fontId="1"/>
  </si>
  <si>
    <t>回  転</t>
    <phoneticPr fontId="1"/>
  </si>
  <si>
    <t>保証金</t>
    <phoneticPr fontId="1"/>
  </si>
  <si>
    <t>組    合    名</t>
    <phoneticPr fontId="1"/>
  </si>
  <si>
    <t>賞   与
引 当 金</t>
    <rPh sb="0" eb="1">
      <t>ショウ</t>
    </rPh>
    <rPh sb="4" eb="5">
      <t>クミ</t>
    </rPh>
    <rPh sb="7" eb="8">
      <t>イン</t>
    </rPh>
    <rPh sb="9" eb="10">
      <t>トウ</t>
    </rPh>
    <phoneticPr fontId="1"/>
  </si>
  <si>
    <t xml:space="preserve">  （１）組織状況</t>
    <phoneticPr fontId="1"/>
  </si>
  <si>
    <t xml:space="preserve">  （２）事業状況</t>
    <phoneticPr fontId="1"/>
  </si>
  <si>
    <t xml:space="preserve">  （３）財務状況</t>
    <phoneticPr fontId="1"/>
  </si>
  <si>
    <t>法 人 税
住 民 税
及    び
事 業 税</t>
    <rPh sb="6" eb="9">
      <t>ジュウミン</t>
    </rPh>
    <rPh sb="10" eb="11">
      <t>ジュウミンゼイ</t>
    </rPh>
    <rPh sb="12" eb="13">
      <t>オヨ</t>
    </rPh>
    <rPh sb="19" eb="22">
      <t>ジギョウ</t>
    </rPh>
    <rPh sb="23" eb="24">
      <t>ゼイ</t>
    </rPh>
    <phoneticPr fontId="2"/>
  </si>
  <si>
    <t>特   別
修   繕
引当金</t>
    <rPh sb="12" eb="14">
      <t>ヒキアテ</t>
    </rPh>
    <rPh sb="14" eb="15">
      <t>キン</t>
    </rPh>
    <phoneticPr fontId="1"/>
  </si>
  <si>
    <t>遭   難
救   助
引当金</t>
    <rPh sb="12" eb="14">
      <t>ヒキアテ</t>
    </rPh>
    <rPh sb="14" eb="15">
      <t>キン</t>
    </rPh>
    <phoneticPr fontId="1"/>
  </si>
  <si>
    <t>その他の
共済事業
負　  　債</t>
    <rPh sb="5" eb="7">
      <t>キョウサイ</t>
    </rPh>
    <rPh sb="7" eb="9">
      <t>ジギョウ</t>
    </rPh>
    <rPh sb="10" eb="11">
      <t>フ</t>
    </rPh>
    <rPh sb="15" eb="16">
      <t>サイ</t>
    </rPh>
    <phoneticPr fontId="1"/>
  </si>
  <si>
    <t>貸    倒
引当金</t>
    <rPh sb="0" eb="1">
      <t>カシ</t>
    </rPh>
    <rPh sb="5" eb="6">
      <t>ダオシ</t>
    </rPh>
    <rPh sb="8" eb="11">
      <t>ヒキアテキン</t>
    </rPh>
    <phoneticPr fontId="1"/>
  </si>
  <si>
    <t>法定準備金</t>
    <rPh sb="0" eb="2">
      <t>ホウテイ</t>
    </rPh>
    <rPh sb="2" eb="5">
      <t>ジュンビキン</t>
    </rPh>
    <phoneticPr fontId="1"/>
  </si>
  <si>
    <t>資　本　　準備金</t>
    <rPh sb="0" eb="1">
      <t>シ</t>
    </rPh>
    <rPh sb="2" eb="3">
      <t>ホン</t>
    </rPh>
    <rPh sb="5" eb="8">
      <t>ジュンビキン</t>
    </rPh>
    <phoneticPr fontId="1"/>
  </si>
  <si>
    <t>利　益　　準備金</t>
    <rPh sb="0" eb="1">
      <t>リ</t>
    </rPh>
    <rPh sb="2" eb="3">
      <t>エキ</t>
    </rPh>
    <rPh sb="5" eb="8">
      <t>ジュンビキン</t>
    </rPh>
    <phoneticPr fontId="1"/>
  </si>
  <si>
    <t>仙
台</t>
    <rPh sb="0" eb="1">
      <t>ヤマト</t>
    </rPh>
    <rPh sb="8" eb="9">
      <t>ダイ</t>
    </rPh>
    <phoneticPr fontId="1"/>
  </si>
  <si>
    <t>(仙台計）</t>
    <rPh sb="1" eb="3">
      <t>センダイ</t>
    </rPh>
    <phoneticPr fontId="1"/>
  </si>
  <si>
    <t>(仙台計）</t>
    <rPh sb="1" eb="3">
      <t>センダイ</t>
    </rPh>
    <rPh sb="3" eb="4">
      <t>ケイ</t>
    </rPh>
    <phoneticPr fontId="1"/>
  </si>
  <si>
    <t>S44. 2.21</t>
    <phoneticPr fontId="1"/>
  </si>
  <si>
    <t>S24. 8.24</t>
    <phoneticPr fontId="1"/>
  </si>
  <si>
    <t>S34. 8.24</t>
    <phoneticPr fontId="1"/>
  </si>
  <si>
    <t>S24. 7.22</t>
    <phoneticPr fontId="1"/>
  </si>
  <si>
    <t>S24. 7.12</t>
    <phoneticPr fontId="1"/>
  </si>
  <si>
    <t>S43. 2. 1</t>
    <phoneticPr fontId="1"/>
  </si>
  <si>
    <t>S52. 1.29</t>
    <phoneticPr fontId="1"/>
  </si>
  <si>
    <t>　県　　　　 計　</t>
    <phoneticPr fontId="1"/>
  </si>
  <si>
    <t>② 共済事業</t>
    <phoneticPr fontId="1"/>
  </si>
  <si>
    <t>組    合    名</t>
    <phoneticPr fontId="1"/>
  </si>
  <si>
    <t>組    合    名</t>
    <phoneticPr fontId="1"/>
  </si>
  <si>
    <t>合  　　　　計</t>
    <phoneticPr fontId="1"/>
  </si>
  <si>
    <t>組    合    名</t>
    <phoneticPr fontId="1"/>
  </si>
  <si>
    <t>受  入  高</t>
    <phoneticPr fontId="1"/>
  </si>
  <si>
    <t>供  給  高</t>
    <phoneticPr fontId="1"/>
  </si>
  <si>
    <t>　県　　　　     計　</t>
    <phoneticPr fontId="1"/>
  </si>
  <si>
    <t>⑥ 加工事業</t>
    <rPh sb="2" eb="4">
      <t>カコウ</t>
    </rPh>
    <rPh sb="4" eb="6">
      <t>ジギョウ</t>
    </rPh>
    <phoneticPr fontId="1"/>
  </si>
  <si>
    <t>組   合   名</t>
    <phoneticPr fontId="1"/>
  </si>
  <si>
    <t>組   合   名</t>
    <phoneticPr fontId="1"/>
  </si>
  <si>
    <t>塩釜地区</t>
    <phoneticPr fontId="1"/>
  </si>
  <si>
    <t>塩釜市団地</t>
    <phoneticPr fontId="1"/>
  </si>
  <si>
    <t>塩釜魚市場</t>
    <phoneticPr fontId="1"/>
  </si>
  <si>
    <t>　県　　　　  計　</t>
    <phoneticPr fontId="1"/>
  </si>
  <si>
    <t>組合名</t>
    <phoneticPr fontId="1"/>
  </si>
  <si>
    <t>組   合   名</t>
    <phoneticPr fontId="1"/>
  </si>
  <si>
    <t>組    合    名</t>
    <phoneticPr fontId="1"/>
  </si>
  <si>
    <t>信　　用    事    業</t>
    <phoneticPr fontId="1"/>
  </si>
  <si>
    <t>共　　済　　事　　業</t>
    <phoneticPr fontId="1"/>
  </si>
  <si>
    <t>購　　買　　事　　業</t>
    <phoneticPr fontId="1"/>
  </si>
  <si>
    <t>販    売　　事　　業</t>
    <phoneticPr fontId="1"/>
  </si>
  <si>
    <t>製  氷  冷  凍  事  業</t>
    <phoneticPr fontId="1"/>
  </si>
  <si>
    <t>加   工   事   業</t>
    <phoneticPr fontId="1"/>
  </si>
  <si>
    <t>漁　　業    自    営</t>
    <phoneticPr fontId="1"/>
  </si>
  <si>
    <t>そ　 の 　他　の 　事 　業</t>
    <phoneticPr fontId="1"/>
  </si>
  <si>
    <t>事　　業    別    合    計</t>
    <phoneticPr fontId="1"/>
  </si>
  <si>
    <t>事 業 管 理 費</t>
    <phoneticPr fontId="1"/>
  </si>
  <si>
    <t>　県　　　　    計　</t>
    <phoneticPr fontId="1"/>
  </si>
  <si>
    <t>流　　　　　　　動　　　　　　資　　　　　　産</t>
    <rPh sb="0" eb="1">
      <t>リュウ</t>
    </rPh>
    <rPh sb="8" eb="9">
      <t>ドウ</t>
    </rPh>
    <rPh sb="15" eb="16">
      <t>シ</t>
    </rPh>
    <rPh sb="22" eb="23">
      <t>サン</t>
    </rPh>
    <phoneticPr fontId="1"/>
  </si>
  <si>
    <t>気仙沼
センター</t>
    <phoneticPr fontId="1"/>
  </si>
  <si>
    <t>個
人</t>
    <rPh sb="0" eb="1">
      <t>コ</t>
    </rPh>
    <rPh sb="3" eb="4">
      <t>ニン</t>
    </rPh>
    <phoneticPr fontId="1"/>
  </si>
  <si>
    <t>法
人</t>
    <rPh sb="0" eb="1">
      <t>ホウジン</t>
    </rPh>
    <rPh sb="3" eb="4">
      <t>ニン</t>
    </rPh>
    <phoneticPr fontId="1"/>
  </si>
  <si>
    <t>合
計</t>
    <phoneticPr fontId="1"/>
  </si>
  <si>
    <t>設立
登記
年 月 日</t>
    <rPh sb="4" eb="6">
      <t>トウキ</t>
    </rPh>
    <rPh sb="8" eb="13">
      <t>ネンガッピ</t>
    </rPh>
    <phoneticPr fontId="1"/>
  </si>
  <si>
    <t>非
常
勤
理
事</t>
    <rPh sb="0" eb="1">
      <t>ヒ</t>
    </rPh>
    <rPh sb="2" eb="3">
      <t>ツネ</t>
    </rPh>
    <rPh sb="4" eb="5">
      <t>ツトム</t>
    </rPh>
    <rPh sb="6" eb="7">
      <t>リ</t>
    </rPh>
    <rPh sb="8" eb="9">
      <t>コト</t>
    </rPh>
    <phoneticPr fontId="1"/>
  </si>
  <si>
    <t>受入高</t>
    <phoneticPr fontId="1"/>
  </si>
  <si>
    <t>供給高</t>
    <phoneticPr fontId="1"/>
  </si>
  <si>
    <t>塩干
魚貝類</t>
    <phoneticPr fontId="2"/>
  </si>
  <si>
    <t>受取
手形</t>
    <rPh sb="0" eb="2">
      <t>ウケトリ</t>
    </rPh>
    <rPh sb="4" eb="6">
      <t>テガタ</t>
    </rPh>
    <phoneticPr fontId="1"/>
  </si>
  <si>
    <t>経常利益
又は損益</t>
    <rPh sb="6" eb="7">
      <t>マタ</t>
    </rPh>
    <rPh sb="8" eb="10">
      <t>ソンエキ</t>
    </rPh>
    <phoneticPr fontId="1"/>
  </si>
  <si>
    <t>税 引 前
当期利益</t>
    <rPh sb="7" eb="9">
      <t>トウキ</t>
    </rPh>
    <rPh sb="9" eb="11">
      <t>リエキ</t>
    </rPh>
    <phoneticPr fontId="1"/>
  </si>
  <si>
    <t>法人税等
調 整 額</t>
    <rPh sb="0" eb="3">
      <t>ホウジンゼイ</t>
    </rPh>
    <rPh sb="3" eb="4">
      <t>トウ</t>
    </rPh>
    <rPh sb="6" eb="9">
      <t>チョウセイ</t>
    </rPh>
    <rPh sb="10" eb="11">
      <t>ガク</t>
    </rPh>
    <phoneticPr fontId="1"/>
  </si>
  <si>
    <t>前期繰越
剰 余 金</t>
    <rPh sb="0" eb="2">
      <t>ゼンキ</t>
    </rPh>
    <rPh sb="2" eb="4">
      <t>クリコシ</t>
    </rPh>
    <rPh sb="6" eb="9">
      <t>ジョウヨ</t>
    </rPh>
    <rPh sb="10" eb="11">
      <t>キン</t>
    </rPh>
    <phoneticPr fontId="2"/>
  </si>
  <si>
    <t>目    的
積立金
目    的
取崩額</t>
    <rPh sb="0" eb="1">
      <t>メ</t>
    </rPh>
    <rPh sb="5" eb="6">
      <t>マト</t>
    </rPh>
    <rPh sb="7" eb="10">
      <t>ツミタテキン</t>
    </rPh>
    <rPh sb="11" eb="12">
      <t>メ</t>
    </rPh>
    <rPh sb="16" eb="17">
      <t>マト</t>
    </rPh>
    <rPh sb="18" eb="20">
      <t>トリクズ</t>
    </rPh>
    <rPh sb="20" eb="21">
      <t>ガク</t>
    </rPh>
    <phoneticPr fontId="2"/>
  </si>
  <si>
    <t>当期
末処分
剰余金</t>
    <rPh sb="0" eb="2">
      <t>トウキ</t>
    </rPh>
    <rPh sb="3" eb="4">
      <t>マツ</t>
    </rPh>
    <rPh sb="4" eb="6">
      <t>ショブン</t>
    </rPh>
    <rPh sb="7" eb="10">
      <t>ジョウヨキン</t>
    </rPh>
    <phoneticPr fontId="2"/>
  </si>
  <si>
    <t>数　　 量
t</t>
    <phoneticPr fontId="1"/>
  </si>
  <si>
    <t>数　   量
t</t>
    <phoneticPr fontId="1"/>
  </si>
  <si>
    <t>純　　資　　産</t>
    <rPh sb="0" eb="1">
      <t>ジュン</t>
    </rPh>
    <rPh sb="3" eb="4">
      <t>シ</t>
    </rPh>
    <rPh sb="6" eb="7">
      <t>サン</t>
    </rPh>
    <phoneticPr fontId="1"/>
  </si>
  <si>
    <t>再評価に係る繰延税金負債</t>
    <rPh sb="0" eb="1">
      <t>サイ</t>
    </rPh>
    <rPh sb="1" eb="3">
      <t>ヒョウカ</t>
    </rPh>
    <rPh sb="4" eb="5">
      <t>カカ</t>
    </rPh>
    <rPh sb="6" eb="8">
      <t>クリノベ</t>
    </rPh>
    <rPh sb="8" eb="10">
      <t>ゼイキン</t>
    </rPh>
    <rPh sb="10" eb="12">
      <t>フサイ</t>
    </rPh>
    <phoneticPr fontId="2"/>
  </si>
  <si>
    <t>繰延税金負債</t>
    <rPh sb="0" eb="2">
      <t>クリノベ</t>
    </rPh>
    <rPh sb="2" eb="4">
      <t>ゼイキン</t>
    </rPh>
    <rPh sb="4" eb="6">
      <t>フサイ</t>
    </rPh>
    <phoneticPr fontId="2"/>
  </si>
  <si>
    <t>塩干
魚貝類</t>
    <phoneticPr fontId="2"/>
  </si>
  <si>
    <t>その他の信用事業資産</t>
    <rPh sb="2" eb="3">
      <t>タ</t>
    </rPh>
    <rPh sb="4" eb="6">
      <t>シンヨウ</t>
    </rPh>
    <rPh sb="6" eb="8">
      <t>ジギョウ</t>
    </rPh>
    <rPh sb="8" eb="9">
      <t>シ</t>
    </rPh>
    <rPh sb="9" eb="10">
      <t>サン</t>
    </rPh>
    <phoneticPr fontId="1"/>
  </si>
  <si>
    <t>再評価に係る繰延税金資産</t>
    <rPh sb="0" eb="1">
      <t>サイ</t>
    </rPh>
    <rPh sb="1" eb="2">
      <t>ヒョウ</t>
    </rPh>
    <rPh sb="4" eb="5">
      <t>カカ</t>
    </rPh>
    <rPh sb="6" eb="8">
      <t>クリノベ</t>
    </rPh>
    <rPh sb="8" eb="10">
      <t>ゼイキン</t>
    </rPh>
    <rPh sb="10" eb="12">
      <t>シサン</t>
    </rPh>
    <phoneticPr fontId="2"/>
  </si>
  <si>
    <t>その他の信用事業負債</t>
    <rPh sb="4" eb="6">
      <t>シンヨウ</t>
    </rPh>
    <rPh sb="6" eb="8">
      <t>ジギョウ</t>
    </rPh>
    <rPh sb="8" eb="10">
      <t>フサイ</t>
    </rPh>
    <phoneticPr fontId="1"/>
  </si>
  <si>
    <t>（単位：千円）</t>
    <rPh sb="1" eb="3">
      <t>タンイ</t>
    </rPh>
    <rPh sb="4" eb="6">
      <t>センエン</t>
    </rPh>
    <phoneticPr fontId="1"/>
  </si>
  <si>
    <t>（単位：件，千円）</t>
    <rPh sb="1" eb="3">
      <t>タンイ</t>
    </rPh>
    <rPh sb="4" eb="5">
      <t>ケン</t>
    </rPh>
    <rPh sb="6" eb="8">
      <t>センエン</t>
    </rPh>
    <phoneticPr fontId="1"/>
  </si>
  <si>
    <t>（単位：ｔ，千円）</t>
    <rPh sb="1" eb="3">
      <t>タンイ</t>
    </rPh>
    <rPh sb="6" eb="8">
      <t>センエン</t>
    </rPh>
    <phoneticPr fontId="1"/>
  </si>
  <si>
    <t>（単位：千円）</t>
    <phoneticPr fontId="1"/>
  </si>
  <si>
    <t>気 仙 沼 冷 凍</t>
    <phoneticPr fontId="1"/>
  </si>
  <si>
    <t>S44. 7.21</t>
    <phoneticPr fontId="1"/>
  </si>
  <si>
    <t>気仙沼</t>
    <phoneticPr fontId="1"/>
  </si>
  <si>
    <t>（石巻計）</t>
    <phoneticPr fontId="1"/>
  </si>
  <si>
    <t>気仙沼
センター</t>
    <phoneticPr fontId="1"/>
  </si>
  <si>
    <t>S50. 9.18</t>
    <phoneticPr fontId="1"/>
  </si>
  <si>
    <t>S24.10. 3</t>
    <phoneticPr fontId="1"/>
  </si>
  <si>
    <t>S34. 6.18</t>
    <phoneticPr fontId="1"/>
  </si>
  <si>
    <t>4.1～ 3.31</t>
    <phoneticPr fontId="1"/>
  </si>
  <si>
    <t>4.1～ 3.31</t>
    <phoneticPr fontId="1"/>
  </si>
  <si>
    <t>塩釜地区</t>
    <phoneticPr fontId="1"/>
  </si>
  <si>
    <t>塩釜</t>
    <phoneticPr fontId="1"/>
  </si>
  <si>
    <t>塩釜</t>
    <phoneticPr fontId="1"/>
  </si>
  <si>
    <t>塩釜</t>
    <phoneticPr fontId="1"/>
  </si>
  <si>
    <t>石巻市</t>
    <phoneticPr fontId="1"/>
  </si>
  <si>
    <t>石巻市</t>
    <phoneticPr fontId="1"/>
  </si>
  <si>
    <t>塩釜地区</t>
    <phoneticPr fontId="1"/>
  </si>
  <si>
    <t>1.1～ 12.31</t>
    <phoneticPr fontId="1"/>
  </si>
  <si>
    <t>事　  業
外費用</t>
    <phoneticPr fontId="1"/>
  </si>
  <si>
    <t>事　  業
外収益</t>
    <rPh sb="8" eb="9">
      <t>オサム</t>
    </rPh>
    <rPh sb="9" eb="10">
      <t>エキ</t>
    </rPh>
    <phoneticPr fontId="1"/>
  </si>
  <si>
    <t>事 業
利 益</t>
    <phoneticPr fontId="1"/>
  </si>
  <si>
    <t>特 別
利 益</t>
    <phoneticPr fontId="1"/>
  </si>
  <si>
    <t>特 別
損 失</t>
    <phoneticPr fontId="1"/>
  </si>
  <si>
    <t>当　  期
剰余金</t>
    <phoneticPr fontId="1"/>
  </si>
  <si>
    <t>組 合 名</t>
    <phoneticPr fontId="1"/>
  </si>
  <si>
    <t>組 合 名</t>
    <phoneticPr fontId="1"/>
  </si>
  <si>
    <t>負債及び
純資産
合計</t>
    <rPh sb="6" eb="7">
      <t>ジュン</t>
    </rPh>
    <rPh sb="7" eb="9">
      <t>シサン</t>
    </rPh>
    <rPh sb="11" eb="13">
      <t>ゴウケイ</t>
    </rPh>
    <phoneticPr fontId="1"/>
  </si>
  <si>
    <t>気　仙　沼</t>
    <phoneticPr fontId="1"/>
  </si>
  <si>
    <t>気仙沼冷凍</t>
    <phoneticPr fontId="1"/>
  </si>
  <si>
    <t>石巻市蒲鉾</t>
    <phoneticPr fontId="1"/>
  </si>
  <si>
    <t>塩釜地区</t>
    <phoneticPr fontId="1"/>
  </si>
  <si>
    <t>塩釜市団地</t>
    <phoneticPr fontId="1"/>
  </si>
  <si>
    <t>塩釜魚市場</t>
    <phoneticPr fontId="1"/>
  </si>
  <si>
    <t>冷凍・冷蔵</t>
    <phoneticPr fontId="1"/>
  </si>
  <si>
    <t>その他の引当金等</t>
    <rPh sb="2" eb="3">
      <t>タ</t>
    </rPh>
    <rPh sb="4" eb="7">
      <t>ヒキアテキン</t>
    </rPh>
    <rPh sb="7" eb="8">
      <t>トウ</t>
    </rPh>
    <phoneticPr fontId="1"/>
  </si>
  <si>
    <t xml:space="preserve">               ① 信用事業</t>
    <phoneticPr fontId="1"/>
  </si>
  <si>
    <t xml:space="preserve">             ③ 購買事業</t>
    <phoneticPr fontId="1"/>
  </si>
  <si>
    <t xml:space="preserve">             ③ 購買事業(つづき)</t>
    <phoneticPr fontId="1"/>
  </si>
  <si>
    <t xml:space="preserve">          ④ 販売事業</t>
    <phoneticPr fontId="1"/>
  </si>
  <si>
    <t xml:space="preserve">          ⑤ 製氷・冷凍・冷蔵</t>
    <phoneticPr fontId="1"/>
  </si>
  <si>
    <t xml:space="preserve">              ① 貸借対照表</t>
    <phoneticPr fontId="1"/>
  </si>
  <si>
    <t xml:space="preserve">          ① 貸借対照表（つづき）</t>
    <phoneticPr fontId="1"/>
  </si>
  <si>
    <t xml:space="preserve">          ① 貸借対照表（つづき）</t>
    <phoneticPr fontId="1"/>
  </si>
  <si>
    <t xml:space="preserve">             ② 損益計算書</t>
    <phoneticPr fontId="1"/>
  </si>
  <si>
    <t xml:space="preserve">           ② 損益計算書（つづき）</t>
    <phoneticPr fontId="1"/>
  </si>
  <si>
    <t>気　仙　沼</t>
    <phoneticPr fontId="1"/>
  </si>
  <si>
    <t>- 58 -</t>
    <phoneticPr fontId="1"/>
  </si>
  <si>
    <t>- 59 -</t>
    <phoneticPr fontId="1"/>
  </si>
  <si>
    <t>- 61 -</t>
    <phoneticPr fontId="1"/>
  </si>
  <si>
    <t>- 64 -</t>
    <phoneticPr fontId="1"/>
  </si>
  <si>
    <t>受　入　高</t>
    <phoneticPr fontId="1"/>
  </si>
  <si>
    <t>食  　　用</t>
    <phoneticPr fontId="1"/>
  </si>
  <si>
    <t>預け金</t>
    <phoneticPr fontId="1"/>
  </si>
  <si>
    <t>石巻市</t>
    <phoneticPr fontId="1"/>
  </si>
  <si>
    <t>塩釜地区</t>
    <phoneticPr fontId="1"/>
  </si>
  <si>
    <t>気仙沼冷凍</t>
    <phoneticPr fontId="1"/>
  </si>
  <si>
    <t>加　工　販　売　高</t>
    <phoneticPr fontId="1"/>
  </si>
  <si>
    <t xml:space="preserve"> </t>
    <phoneticPr fontId="1"/>
  </si>
  <si>
    <t>積立金</t>
    <phoneticPr fontId="1"/>
  </si>
  <si>
    <t>償却資産</t>
    <phoneticPr fontId="1"/>
  </si>
  <si>
    <t>減    価</t>
    <phoneticPr fontId="1"/>
  </si>
  <si>
    <t>借入金</t>
    <phoneticPr fontId="1"/>
  </si>
  <si>
    <t>共  済
借入金</t>
    <phoneticPr fontId="1"/>
  </si>
  <si>
    <t>供　給　高</t>
    <phoneticPr fontId="1"/>
  </si>
  <si>
    <t>共済資金</t>
    <phoneticPr fontId="1"/>
  </si>
  <si>
    <t>棚卸
資産</t>
    <phoneticPr fontId="1"/>
  </si>
  <si>
    <t>計</t>
    <phoneticPr fontId="1"/>
  </si>
  <si>
    <t>自家製造分</t>
    <phoneticPr fontId="1"/>
  </si>
  <si>
    <t>固定資産</t>
    <phoneticPr fontId="1"/>
  </si>
  <si>
    <t>貸    　　出     　金</t>
    <phoneticPr fontId="1"/>
  </si>
  <si>
    <t>計</t>
    <phoneticPr fontId="1"/>
  </si>
  <si>
    <t>加　　工　　原　　料</t>
    <rPh sb="0" eb="1">
      <t>カ</t>
    </rPh>
    <rPh sb="3" eb="4">
      <t>コウ</t>
    </rPh>
    <rPh sb="6" eb="7">
      <t>ハラ</t>
    </rPh>
    <rPh sb="9" eb="10">
      <t>リョウ</t>
    </rPh>
    <phoneticPr fontId="1"/>
  </si>
  <si>
    <t>- 55 -</t>
    <phoneticPr fontId="1"/>
  </si>
  <si>
    <t>- 56 -</t>
    <phoneticPr fontId="1"/>
  </si>
  <si>
    <t>- 57 -</t>
    <phoneticPr fontId="1"/>
  </si>
  <si>
    <t>- 60 -</t>
    <phoneticPr fontId="1"/>
  </si>
  <si>
    <t>- 62 -</t>
    <phoneticPr fontId="1"/>
  </si>
  <si>
    <t>- 63 -</t>
    <phoneticPr fontId="1"/>
  </si>
  <si>
    <t>- 65 -</t>
    <phoneticPr fontId="1"/>
  </si>
  <si>
    <t>- 66 -</t>
    <phoneticPr fontId="1"/>
  </si>
  <si>
    <t>- 67 -</t>
    <phoneticPr fontId="1"/>
  </si>
  <si>
    <t>渡　　　　　波</t>
    <phoneticPr fontId="1"/>
  </si>
  <si>
    <t>うち系統分</t>
    <phoneticPr fontId="1"/>
  </si>
  <si>
    <t>氷</t>
    <phoneticPr fontId="1"/>
  </si>
  <si>
    <t>気　仙　沼</t>
    <phoneticPr fontId="1"/>
  </si>
  <si>
    <t>気仙沼冷凍</t>
    <phoneticPr fontId="1"/>
  </si>
  <si>
    <t>石巻市蒲鉾</t>
    <phoneticPr fontId="1"/>
  </si>
  <si>
    <t>塩釜市団地</t>
    <phoneticPr fontId="1"/>
  </si>
  <si>
    <t>塩釜魚市場</t>
    <phoneticPr fontId="1"/>
  </si>
  <si>
    <t>女　　　　川</t>
    <phoneticPr fontId="1"/>
  </si>
  <si>
    <t>渡　　　　波</t>
    <phoneticPr fontId="1"/>
  </si>
  <si>
    <t>（石巻計）</t>
    <phoneticPr fontId="1"/>
  </si>
  <si>
    <t>経  済
 事  業
 雑資産</t>
    <rPh sb="6" eb="7">
      <t>ゴト</t>
    </rPh>
    <rPh sb="9" eb="10">
      <t>ギョウ</t>
    </rPh>
    <rPh sb="12" eb="13">
      <t>ザツ</t>
    </rPh>
    <rPh sb="13" eb="14">
      <t>シ</t>
    </rPh>
    <rPh sb="14" eb="15">
      <t>サン</t>
    </rPh>
    <phoneticPr fontId="1"/>
  </si>
  <si>
    <t>処分未
済持分</t>
    <rPh sb="0" eb="2">
      <t>ショブン</t>
    </rPh>
    <rPh sb="2" eb="3">
      <t>ミ</t>
    </rPh>
    <rPh sb="4" eb="5">
      <t>スミ</t>
    </rPh>
    <rPh sb="5" eb="7">
      <t>モチブン</t>
    </rPh>
    <phoneticPr fontId="2"/>
  </si>
  <si>
    <t>退   職
給   付
引当金</t>
    <rPh sb="0" eb="1">
      <t>シリゾ</t>
    </rPh>
    <rPh sb="4" eb="5">
      <t>ショク</t>
    </rPh>
    <rPh sb="6" eb="7">
      <t>キュウ</t>
    </rPh>
    <rPh sb="10" eb="11">
      <t>フ</t>
    </rPh>
    <rPh sb="12" eb="14">
      <t>ヒキアテ</t>
    </rPh>
    <rPh sb="14" eb="15">
      <t>キン</t>
    </rPh>
    <phoneticPr fontId="1"/>
  </si>
  <si>
    <t>経済
事業
未収金</t>
    <rPh sb="3" eb="4">
      <t>ゴト</t>
    </rPh>
    <rPh sb="4" eb="5">
      <t>ギョウ</t>
    </rPh>
    <rPh sb="6" eb="9">
      <t>ミシュウキン</t>
    </rPh>
    <phoneticPr fontId="1"/>
  </si>
  <si>
    <t>気 仙 沼 冷 凍</t>
    <phoneticPr fontId="1"/>
  </si>
  <si>
    <t>気　　仙　　沼</t>
    <phoneticPr fontId="1"/>
  </si>
  <si>
    <t>石 巻 市 蒲 鉾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</si>
</sst>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;\-#,##0.0"/>
    <numFmt numFmtId="177" formatCode="0.0"/>
    <numFmt numFmtId="178" formatCode="#,##0;&quot;△&quot;#,##0"/>
    <numFmt numFmtId="179" formatCode="#,##0.0;&quot;¥&quot;\!\-#,##0.0"/>
    <numFmt numFmtId="180" formatCode="#,##0;&quot;△ &quot;#,##0"/>
    <numFmt numFmtId="181" formatCode="0.0;[Red]0.0"/>
    <numFmt numFmtId="182" formatCode="0.0_);[Red]\(0.0\)"/>
  </numFmts>
  <fonts count="26" x14ac:knownFonts="1">
    <font>
      <sz val="14"/>
      <name val="Terminal"/>
      <charset val="128"/>
    </font>
    <font>
      <sz val="14"/>
      <color indexed="12"/>
      <name val="Terminal"/>
      <charset val="128"/>
    </font>
    <font>
      <sz val="14"/>
      <name val="Terminal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3"/>
      <name val="ＭＳ ゴシック"/>
      <family val="3"/>
      <charset val="128"/>
    </font>
    <font>
      <sz val="6"/>
      <name val="ＭＳ Ｐ明朝"/>
      <family val="1"/>
      <charset val="128"/>
    </font>
    <font>
      <sz val="7"/>
      <color rgb="FFFF0000"/>
      <name val="ＭＳ 明朝"/>
      <family val="1"/>
      <charset val="128"/>
    </font>
    <font>
      <sz val="11"/>
      <name val="Times New Roman"/>
      <family val="1"/>
    </font>
    <font>
      <sz val="8"/>
      <name val="ＭＳ Ｐゴシック"/>
      <family val="3"/>
      <charset val="128"/>
    </font>
    <font>
      <sz val="11"/>
      <name val="Century"/>
      <family val="1"/>
    </font>
    <font>
      <sz val="12"/>
      <name val="Century"/>
      <family val="1"/>
    </font>
    <font>
      <sz val="8"/>
      <color rgb="FFFF0000"/>
      <name val="ＭＳ Ｐ明朝"/>
      <family val="1"/>
      <charset val="128"/>
    </font>
    <font>
      <sz val="9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9">
    <xf numFmtId="176" fontId="0" fillId="0" borderId="0"/>
    <xf numFmtId="0" fontId="2" fillId="0" borderId="0"/>
    <xf numFmtId="37" fontId="2" fillId="0" borderId="0"/>
    <xf numFmtId="3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7" fontId="2" fillId="0" borderId="0"/>
  </cellStyleXfs>
  <cellXfs count="618">
    <xf numFmtId="176" fontId="0" fillId="0" borderId="0" xfId="0"/>
    <xf numFmtId="37" fontId="3" fillId="0" borderId="0" xfId="4" applyNumberFormat="1" applyFont="1" applyFill="1" applyAlignment="1" applyProtection="1">
      <alignment vertical="center"/>
    </xf>
    <xf numFmtId="0" fontId="3" fillId="0" borderId="0" xfId="4" applyFont="1" applyFill="1" applyAlignment="1">
      <alignment vertical="center"/>
    </xf>
    <xf numFmtId="0" fontId="3" fillId="0" borderId="0" xfId="5" applyFont="1" applyFill="1" applyAlignment="1">
      <alignment vertical="center"/>
    </xf>
    <xf numFmtId="37" fontId="3" fillId="0" borderId="3" xfId="7" applyNumberFormat="1" applyFont="1" applyFill="1" applyBorder="1" applyAlignment="1" applyProtection="1">
      <alignment vertical="center"/>
    </xf>
    <xf numFmtId="0" fontId="3" fillId="0" borderId="0" xfId="7" applyFont="1" applyFill="1" applyAlignment="1">
      <alignment vertical="center"/>
    </xf>
    <xf numFmtId="37" fontId="6" fillId="0" borderId="3" xfId="7" applyNumberFormat="1" applyFont="1" applyFill="1" applyBorder="1" applyAlignment="1" applyProtection="1">
      <alignment vertical="center"/>
    </xf>
    <xf numFmtId="37" fontId="6" fillId="0" borderId="0" xfId="7" applyNumberFormat="1" applyFont="1" applyFill="1" applyBorder="1" applyAlignment="1" applyProtection="1">
      <alignment vertical="center"/>
    </xf>
    <xf numFmtId="0" fontId="3" fillId="0" borderId="0" xfId="6" applyFont="1" applyFill="1" applyAlignment="1">
      <alignment vertical="center"/>
    </xf>
    <xf numFmtId="37" fontId="3" fillId="0" borderId="0" xfId="6" applyNumberFormat="1" applyFont="1" applyFill="1" applyAlignment="1" applyProtection="1">
      <alignment vertical="center"/>
    </xf>
    <xf numFmtId="37" fontId="4" fillId="0" borderId="0" xfId="6" applyNumberFormat="1" applyFont="1" applyFill="1" applyAlignment="1" applyProtection="1">
      <alignment vertical="center"/>
    </xf>
    <xf numFmtId="37" fontId="4" fillId="0" borderId="0" xfId="6" applyNumberFormat="1" applyFont="1" applyFill="1" applyAlignment="1" applyProtection="1">
      <alignment horizontal="center" vertical="center"/>
    </xf>
    <xf numFmtId="37" fontId="4" fillId="0" borderId="5" xfId="6" applyNumberFormat="1" applyFont="1" applyFill="1" applyBorder="1" applyAlignment="1" applyProtection="1">
      <alignment vertical="center"/>
    </xf>
    <xf numFmtId="37" fontId="3" fillId="0" borderId="5" xfId="6" applyNumberFormat="1" applyFont="1" applyFill="1" applyBorder="1" applyAlignment="1" applyProtection="1">
      <alignment horizontal="center" vertical="center"/>
    </xf>
    <xf numFmtId="37" fontId="3" fillId="0" borderId="5" xfId="6" applyNumberFormat="1" applyFont="1" applyFill="1" applyBorder="1" applyAlignment="1" applyProtection="1">
      <alignment vertical="center"/>
    </xf>
    <xf numFmtId="37" fontId="7" fillId="0" borderId="8" xfId="6" applyNumberFormat="1" applyFont="1" applyFill="1" applyBorder="1" applyAlignment="1" applyProtection="1">
      <alignment horizontal="center" vertical="center"/>
    </xf>
    <xf numFmtId="37" fontId="7" fillId="0" borderId="1" xfId="6" applyNumberFormat="1" applyFont="1" applyFill="1" applyBorder="1" applyAlignment="1" applyProtection="1">
      <alignment horizontal="center" vertical="center"/>
    </xf>
    <xf numFmtId="37" fontId="7" fillId="0" borderId="9" xfId="6" applyNumberFormat="1" applyFont="1" applyFill="1" applyBorder="1" applyAlignment="1" applyProtection="1">
      <alignment horizontal="center" vertical="center"/>
    </xf>
    <xf numFmtId="37" fontId="6" fillId="0" borderId="8" xfId="6" applyNumberFormat="1" applyFont="1" applyFill="1" applyBorder="1" applyAlignment="1" applyProtection="1">
      <alignment horizontal="center" vertical="center"/>
    </xf>
    <xf numFmtId="37" fontId="6" fillId="0" borderId="1" xfId="6" applyNumberFormat="1" applyFont="1" applyFill="1" applyBorder="1" applyAlignment="1" applyProtection="1">
      <alignment horizontal="center" vertical="center"/>
    </xf>
    <xf numFmtId="37" fontId="6" fillId="0" borderId="9" xfId="6" applyNumberFormat="1" applyFont="1" applyFill="1" applyBorder="1" applyAlignment="1" applyProtection="1">
      <alignment horizontal="center" vertical="center"/>
    </xf>
    <xf numFmtId="37" fontId="6" fillId="0" borderId="5" xfId="6" applyNumberFormat="1" applyFont="1" applyFill="1" applyBorder="1" applyAlignment="1" applyProtection="1">
      <alignment horizontal="center" vertical="center"/>
    </xf>
    <xf numFmtId="37" fontId="3" fillId="0" borderId="0" xfId="4" applyNumberFormat="1" applyFont="1" applyFill="1" applyAlignment="1" applyProtection="1">
      <alignment horizontal="center" vertical="center"/>
    </xf>
    <xf numFmtId="37" fontId="5" fillId="0" borderId="0" xfId="4" applyNumberFormat="1" applyFont="1" applyFill="1" applyAlignment="1" applyProtection="1">
      <alignment vertical="center"/>
    </xf>
    <xf numFmtId="37" fontId="4" fillId="0" borderId="0" xfId="4" applyNumberFormat="1" applyFont="1" applyFill="1" applyAlignment="1" applyProtection="1">
      <alignment horizontal="center" vertical="center"/>
    </xf>
    <xf numFmtId="37" fontId="4" fillId="0" borderId="0" xfId="4" applyNumberFormat="1" applyFont="1" applyFill="1" applyBorder="1" applyAlignment="1" applyProtection="1">
      <alignment vertical="center"/>
    </xf>
    <xf numFmtId="37" fontId="3" fillId="0" borderId="0" xfId="5" applyNumberFormat="1" applyFont="1" applyFill="1" applyAlignment="1" applyProtection="1">
      <alignment vertical="center"/>
    </xf>
    <xf numFmtId="37" fontId="4" fillId="0" borderId="0" xfId="5" applyNumberFormat="1" applyFont="1" applyFill="1" applyAlignment="1" applyProtection="1">
      <alignment vertical="center"/>
    </xf>
    <xf numFmtId="37" fontId="4" fillId="0" borderId="0" xfId="5" applyNumberFormat="1" applyFont="1" applyFill="1" applyAlignment="1" applyProtection="1">
      <alignment horizontal="center" vertical="center"/>
    </xf>
    <xf numFmtId="37" fontId="3" fillId="0" borderId="0" xfId="5" applyNumberFormat="1" applyFont="1" applyFill="1" applyAlignment="1" applyProtection="1">
      <alignment horizontal="center" vertical="center"/>
    </xf>
    <xf numFmtId="37" fontId="4" fillId="0" borderId="5" xfId="5" applyNumberFormat="1" applyFont="1" applyFill="1" applyBorder="1" applyAlignment="1" applyProtection="1">
      <alignment vertical="center"/>
    </xf>
    <xf numFmtId="37" fontId="3" fillId="0" borderId="5" xfId="5" applyNumberFormat="1" applyFont="1" applyFill="1" applyBorder="1" applyAlignment="1" applyProtection="1">
      <alignment vertical="center"/>
    </xf>
    <xf numFmtId="37" fontId="6" fillId="0" borderId="1" xfId="5" applyNumberFormat="1" applyFont="1" applyFill="1" applyBorder="1" applyAlignment="1" applyProtection="1">
      <alignment horizontal="center" vertical="center"/>
    </xf>
    <xf numFmtId="37" fontId="3" fillId="0" borderId="0" xfId="7" applyNumberFormat="1" applyFont="1" applyFill="1" applyAlignment="1" applyProtection="1">
      <alignment vertical="center"/>
    </xf>
    <xf numFmtId="37" fontId="3" fillId="0" borderId="0" xfId="7" applyNumberFormat="1" applyFont="1" applyFill="1" applyAlignment="1" applyProtection="1">
      <alignment horizontal="center" vertical="center"/>
    </xf>
    <xf numFmtId="37" fontId="3" fillId="0" borderId="5" xfId="7" applyNumberFormat="1" applyFont="1" applyFill="1" applyBorder="1" applyAlignment="1" applyProtection="1">
      <alignment vertical="center"/>
    </xf>
    <xf numFmtId="37" fontId="3" fillId="0" borderId="0" xfId="7" applyNumberFormat="1" applyFont="1" applyFill="1" applyBorder="1" applyAlignment="1" applyProtection="1">
      <alignment vertical="center"/>
    </xf>
    <xf numFmtId="37" fontId="6" fillId="0" borderId="13" xfId="7" applyNumberFormat="1" applyFont="1" applyFill="1" applyBorder="1" applyAlignment="1" applyProtection="1">
      <alignment vertical="center"/>
    </xf>
    <xf numFmtId="37" fontId="6" fillId="0" borderId="1" xfId="7" applyNumberFormat="1" applyFont="1" applyFill="1" applyBorder="1" applyAlignment="1" applyProtection="1">
      <alignment horizontal="center" vertical="center"/>
    </xf>
    <xf numFmtId="37" fontId="6" fillId="0" borderId="20" xfId="7" applyNumberFormat="1" applyFont="1" applyFill="1" applyBorder="1" applyAlignment="1" applyProtection="1">
      <alignment horizontal="center" vertical="center"/>
    </xf>
    <xf numFmtId="37" fontId="6" fillId="0" borderId="1" xfId="7" applyNumberFormat="1" applyFont="1" applyFill="1" applyBorder="1" applyAlignment="1" applyProtection="1">
      <alignment horizontal="center" vertical="center" wrapText="1"/>
    </xf>
    <xf numFmtId="37" fontId="6" fillId="0" borderId="12" xfId="7" applyNumberFormat="1" applyFont="1" applyFill="1" applyBorder="1" applyAlignment="1" applyProtection="1">
      <alignment vertical="center"/>
    </xf>
    <xf numFmtId="37" fontId="6" fillId="0" borderId="5" xfId="7" applyNumberFormat="1" applyFont="1" applyFill="1" applyBorder="1" applyAlignment="1" applyProtection="1">
      <alignment horizontal="center" vertical="center"/>
    </xf>
    <xf numFmtId="37" fontId="6" fillId="0" borderId="1" xfId="7" applyNumberFormat="1" applyFont="1" applyFill="1" applyBorder="1" applyAlignment="1" applyProtection="1">
      <alignment horizontal="center" vertical="center" shrinkToFit="1"/>
    </xf>
    <xf numFmtId="0" fontId="6" fillId="0" borderId="16" xfId="7" applyFont="1" applyFill="1" applyBorder="1" applyAlignment="1" applyProtection="1">
      <alignment horizontal="center" vertical="center"/>
      <protection locked="0"/>
    </xf>
    <xf numFmtId="37" fontId="6" fillId="0" borderId="8" xfId="7" applyNumberFormat="1" applyFont="1" applyFill="1" applyBorder="1" applyAlignment="1" applyProtection="1">
      <alignment horizontal="center" vertical="center"/>
    </xf>
    <xf numFmtId="0" fontId="3" fillId="0" borderId="0" xfId="6" applyFont="1" applyFill="1" applyAlignment="1">
      <alignment vertical="center" shrinkToFit="1"/>
    </xf>
    <xf numFmtId="37" fontId="6" fillId="0" borderId="3" xfId="7" applyNumberFormat="1" applyFont="1" applyFill="1" applyBorder="1" applyAlignment="1" applyProtection="1">
      <alignment horizontal="center" vertical="center"/>
    </xf>
    <xf numFmtId="0" fontId="3" fillId="0" borderId="0" xfId="5" applyFont="1" applyFill="1" applyAlignment="1" applyProtection="1">
      <alignment vertical="center"/>
    </xf>
    <xf numFmtId="37" fontId="6" fillId="0" borderId="1" xfId="5" applyNumberFormat="1" applyFont="1" applyFill="1" applyBorder="1" applyAlignment="1" applyProtection="1">
      <alignment horizontal="center" vertical="center" shrinkToFit="1"/>
    </xf>
    <xf numFmtId="37" fontId="6" fillId="0" borderId="20" xfId="5" applyNumberFormat="1" applyFont="1" applyFill="1" applyBorder="1" applyAlignment="1" applyProtection="1">
      <alignment horizontal="center" vertical="center" shrinkToFit="1"/>
    </xf>
    <xf numFmtId="37" fontId="6" fillId="0" borderId="33" xfId="5" applyNumberFormat="1" applyFont="1" applyFill="1" applyBorder="1" applyAlignment="1" applyProtection="1">
      <alignment horizontal="center" vertical="center" shrinkToFit="1"/>
    </xf>
    <xf numFmtId="37" fontId="6" fillId="0" borderId="8" xfId="5" applyNumberFormat="1" applyFont="1" applyFill="1" applyBorder="1" applyAlignment="1" applyProtection="1">
      <alignment horizontal="center" vertical="center" shrinkToFit="1"/>
    </xf>
    <xf numFmtId="37" fontId="6" fillId="0" borderId="20" xfId="7" applyNumberFormat="1" applyFont="1" applyFill="1" applyBorder="1" applyAlignment="1" applyProtection="1">
      <alignment horizontal="center" vertical="center" shrinkToFit="1"/>
    </xf>
    <xf numFmtId="0" fontId="3" fillId="0" borderId="0" xfId="7" applyFont="1" applyFill="1" applyAlignment="1" applyProtection="1">
      <alignment vertical="center"/>
    </xf>
    <xf numFmtId="37" fontId="6" fillId="0" borderId="19" xfId="8" applyNumberFormat="1" applyFont="1" applyFill="1" applyBorder="1" applyAlignment="1" applyProtection="1">
      <alignment horizontal="center" vertical="center"/>
    </xf>
    <xf numFmtId="37" fontId="6" fillId="0" borderId="16" xfId="8" applyNumberFormat="1" applyFont="1" applyFill="1" applyBorder="1" applyAlignment="1" applyProtection="1">
      <alignment horizontal="center" vertical="center"/>
    </xf>
    <xf numFmtId="0" fontId="3" fillId="0" borderId="0" xfId="5" applyFont="1" applyFill="1" applyAlignment="1" applyProtection="1">
      <alignment vertical="center" shrinkToFit="1"/>
    </xf>
    <xf numFmtId="0" fontId="3" fillId="0" borderId="0" xfId="5" applyFont="1" applyFill="1" applyAlignment="1">
      <alignment vertical="center" shrinkToFit="1"/>
    </xf>
    <xf numFmtId="37" fontId="8" fillId="0" borderId="9" xfId="0" applyNumberFormat="1" applyFont="1" applyFill="1" applyBorder="1" applyAlignment="1" applyProtection="1">
      <alignment horizontal="distributed" vertical="center"/>
    </xf>
    <xf numFmtId="178" fontId="9" fillId="0" borderId="36" xfId="6" applyNumberFormat="1" applyFont="1" applyFill="1" applyBorder="1" applyAlignment="1" applyProtection="1">
      <alignment vertical="center"/>
      <protection locked="0"/>
    </xf>
    <xf numFmtId="178" fontId="9" fillId="0" borderId="37" xfId="6" applyNumberFormat="1" applyFont="1" applyFill="1" applyBorder="1" applyAlignment="1" applyProtection="1">
      <alignment vertical="center"/>
      <protection locked="0"/>
    </xf>
    <xf numFmtId="178" fontId="9" fillId="0" borderId="31" xfId="6" applyNumberFormat="1" applyFont="1" applyFill="1" applyBorder="1" applyAlignment="1" applyProtection="1">
      <alignment vertical="center"/>
    </xf>
    <xf numFmtId="178" fontId="9" fillId="0" borderId="37" xfId="6" applyNumberFormat="1" applyFont="1" applyFill="1" applyBorder="1" applyAlignment="1" applyProtection="1">
      <alignment vertical="center" shrinkToFit="1"/>
      <protection locked="0"/>
    </xf>
    <xf numFmtId="178" fontId="9" fillId="0" borderId="39" xfId="6" applyNumberFormat="1" applyFont="1" applyFill="1" applyBorder="1" applyAlignment="1" applyProtection="1">
      <alignment vertical="center"/>
      <protection locked="0"/>
    </xf>
    <xf numFmtId="178" fontId="9" fillId="0" borderId="37" xfId="6" applyNumberFormat="1" applyFont="1" applyFill="1" applyBorder="1" applyAlignment="1" applyProtection="1">
      <alignment vertical="center"/>
    </xf>
    <xf numFmtId="180" fontId="9" fillId="0" borderId="53" xfId="2" applyNumberFormat="1" applyFont="1" applyFill="1" applyBorder="1" applyAlignment="1" applyProtection="1">
      <alignment vertical="center"/>
    </xf>
    <xf numFmtId="178" fontId="9" fillId="0" borderId="30" xfId="6" applyNumberFormat="1" applyFont="1" applyFill="1" applyBorder="1" applyAlignment="1" applyProtection="1">
      <alignment vertical="center"/>
      <protection locked="0"/>
    </xf>
    <xf numFmtId="178" fontId="9" fillId="0" borderId="31" xfId="6" applyNumberFormat="1" applyFont="1" applyFill="1" applyBorder="1" applyAlignment="1" applyProtection="1">
      <alignment vertical="center"/>
      <protection locked="0"/>
    </xf>
    <xf numFmtId="178" fontId="9" fillId="0" borderId="31" xfId="6" applyNumberFormat="1" applyFont="1" applyFill="1" applyBorder="1" applyAlignment="1" applyProtection="1">
      <alignment vertical="center" shrinkToFit="1"/>
      <protection locked="0"/>
    </xf>
    <xf numFmtId="178" fontId="9" fillId="0" borderId="22" xfId="6" applyNumberFormat="1" applyFont="1" applyFill="1" applyBorder="1" applyAlignment="1" applyProtection="1">
      <alignment vertical="center"/>
      <protection locked="0"/>
    </xf>
    <xf numFmtId="178" fontId="9" fillId="0" borderId="24" xfId="6" applyNumberFormat="1" applyFont="1" applyFill="1" applyBorder="1" applyAlignment="1" applyProtection="1">
      <alignment vertical="center"/>
    </xf>
    <xf numFmtId="178" fontId="9" fillId="0" borderId="15" xfId="6" applyNumberFormat="1" applyFont="1" applyFill="1" applyBorder="1" applyAlignment="1" applyProtection="1">
      <alignment vertical="center"/>
    </xf>
    <xf numFmtId="178" fontId="9" fillId="0" borderId="16" xfId="6" applyNumberFormat="1" applyFont="1" applyFill="1" applyBorder="1" applyAlignment="1" applyProtection="1">
      <alignment vertical="center"/>
    </xf>
    <xf numFmtId="178" fontId="9" fillId="0" borderId="16" xfId="6" applyNumberFormat="1" applyFont="1" applyFill="1" applyBorder="1" applyAlignment="1" applyProtection="1">
      <alignment vertical="center" shrinkToFit="1"/>
    </xf>
    <xf numFmtId="178" fontId="9" fillId="0" borderId="48" xfId="6" applyNumberFormat="1" applyFont="1" applyFill="1" applyBorder="1" applyAlignment="1" applyProtection="1">
      <alignment vertical="center"/>
    </xf>
    <xf numFmtId="178" fontId="9" fillId="0" borderId="9" xfId="6" applyNumberFormat="1" applyFont="1" applyFill="1" applyBorder="1" applyAlignment="1" applyProtection="1">
      <alignment vertical="center"/>
    </xf>
    <xf numFmtId="178" fontId="9" fillId="0" borderId="26" xfId="6" applyNumberFormat="1" applyFont="1" applyFill="1" applyBorder="1" applyAlignment="1" applyProtection="1">
      <alignment vertical="center" shrinkToFit="1"/>
    </xf>
    <xf numFmtId="178" fontId="9" fillId="0" borderId="25" xfId="6" applyNumberFormat="1" applyFont="1" applyFill="1" applyBorder="1" applyAlignment="1" applyProtection="1">
      <alignment vertical="center" shrinkToFit="1"/>
    </xf>
    <xf numFmtId="178" fontId="9" fillId="0" borderId="27" xfId="6" applyNumberFormat="1" applyFont="1" applyFill="1" applyBorder="1" applyAlignment="1" applyProtection="1">
      <alignment vertical="center" shrinkToFit="1"/>
    </xf>
    <xf numFmtId="178" fontId="9" fillId="0" borderId="28" xfId="6" applyNumberFormat="1" applyFont="1" applyFill="1" applyBorder="1" applyAlignment="1" applyProtection="1">
      <alignment vertical="center" shrinkToFit="1"/>
    </xf>
    <xf numFmtId="37" fontId="8" fillId="0" borderId="2" xfId="0" applyNumberFormat="1" applyFont="1" applyFill="1" applyBorder="1" applyAlignment="1" applyProtection="1">
      <alignment horizontal="center" vertical="center"/>
    </xf>
    <xf numFmtId="37" fontId="9" fillId="0" borderId="38" xfId="7" applyNumberFormat="1" applyFont="1" applyFill="1" applyBorder="1" applyAlignment="1" applyProtection="1">
      <alignment vertical="center"/>
      <protection locked="0"/>
    </xf>
    <xf numFmtId="37" fontId="9" fillId="0" borderId="37" xfId="7" applyNumberFormat="1" applyFont="1" applyFill="1" applyBorder="1" applyAlignment="1" applyProtection="1">
      <alignment vertical="center"/>
      <protection locked="0"/>
    </xf>
    <xf numFmtId="37" fontId="9" fillId="0" borderId="37" xfId="7" applyNumberFormat="1" applyFont="1" applyFill="1" applyBorder="1" applyAlignment="1" applyProtection="1">
      <alignment vertical="center"/>
    </xf>
    <xf numFmtId="180" fontId="9" fillId="0" borderId="37" xfId="7" applyNumberFormat="1" applyFont="1" applyFill="1" applyBorder="1" applyAlignment="1" applyProtection="1">
      <alignment vertical="center" shrinkToFit="1"/>
      <protection locked="0"/>
    </xf>
    <xf numFmtId="37" fontId="9" fillId="0" borderId="31" xfId="7" applyNumberFormat="1" applyFont="1" applyFill="1" applyBorder="1" applyAlignment="1" applyProtection="1">
      <alignment vertical="center"/>
    </xf>
    <xf numFmtId="180" fontId="9" fillId="0" borderId="39" xfId="7" applyNumberFormat="1" applyFont="1" applyFill="1" applyBorder="1" applyAlignment="1" applyProtection="1">
      <alignment vertical="center"/>
      <protection locked="0"/>
    </xf>
    <xf numFmtId="37" fontId="9" fillId="0" borderId="35" xfId="7" applyNumberFormat="1" applyFont="1" applyFill="1" applyBorder="1" applyAlignment="1" applyProtection="1">
      <alignment vertical="center"/>
    </xf>
    <xf numFmtId="37" fontId="9" fillId="0" borderId="32" xfId="7" applyNumberFormat="1" applyFont="1" applyFill="1" applyBorder="1" applyAlignment="1" applyProtection="1">
      <alignment vertical="center"/>
      <protection locked="0"/>
    </xf>
    <xf numFmtId="37" fontId="9" fillId="0" borderId="31" xfId="7" applyNumberFormat="1" applyFont="1" applyFill="1" applyBorder="1" applyAlignment="1" applyProtection="1">
      <alignment vertical="center"/>
      <protection locked="0"/>
    </xf>
    <xf numFmtId="180" fontId="9" fillId="0" borderId="31" xfId="7" applyNumberFormat="1" applyFont="1" applyFill="1" applyBorder="1" applyAlignment="1" applyProtection="1">
      <alignment vertical="center" shrinkToFit="1"/>
      <protection locked="0"/>
    </xf>
    <xf numFmtId="180" fontId="9" fillId="0" borderId="22" xfId="7" applyNumberFormat="1" applyFont="1" applyFill="1" applyBorder="1" applyAlignment="1" applyProtection="1">
      <alignment vertical="center"/>
      <protection locked="0"/>
    </xf>
    <xf numFmtId="37" fontId="9" fillId="0" borderId="29" xfId="7" applyNumberFormat="1" applyFont="1" applyFill="1" applyBorder="1" applyAlignment="1" applyProtection="1">
      <alignment vertical="center"/>
    </xf>
    <xf numFmtId="37" fontId="9" fillId="0" borderId="34" xfId="7" applyNumberFormat="1" applyFont="1" applyFill="1" applyBorder="1" applyAlignment="1" applyProtection="1">
      <alignment vertical="center"/>
    </xf>
    <xf numFmtId="37" fontId="9" fillId="0" borderId="1" xfId="7" applyNumberFormat="1" applyFont="1" applyFill="1" applyBorder="1" applyAlignment="1" applyProtection="1">
      <alignment vertical="center" shrinkToFit="1"/>
    </xf>
    <xf numFmtId="37" fontId="9" fillId="0" borderId="1" xfId="7" applyNumberFormat="1" applyFont="1" applyFill="1" applyBorder="1" applyAlignment="1" applyProtection="1">
      <alignment vertical="center"/>
    </xf>
    <xf numFmtId="180" fontId="9" fillId="0" borderId="1" xfId="7" applyNumberFormat="1" applyFont="1" applyFill="1" applyBorder="1" applyAlignment="1" applyProtection="1">
      <alignment vertical="center" shrinkToFit="1"/>
    </xf>
    <xf numFmtId="180" fontId="9" fillId="0" borderId="20" xfId="7" applyNumberFormat="1" applyFont="1" applyFill="1" applyBorder="1" applyAlignment="1" applyProtection="1">
      <alignment vertical="center"/>
    </xf>
    <xf numFmtId="37" fontId="9" fillId="0" borderId="9" xfId="7" applyNumberFormat="1" applyFont="1" applyFill="1" applyBorder="1" applyAlignment="1" applyProtection="1">
      <alignment vertical="center"/>
    </xf>
    <xf numFmtId="37" fontId="9" fillId="0" borderId="31" xfId="7" applyNumberFormat="1" applyFont="1" applyFill="1" applyBorder="1" applyAlignment="1" applyProtection="1">
      <alignment vertical="center" shrinkToFit="1"/>
      <protection locked="0"/>
    </xf>
    <xf numFmtId="37" fontId="9" fillId="0" borderId="26" xfId="7" applyNumberFormat="1" applyFont="1" applyFill="1" applyBorder="1" applyAlignment="1" applyProtection="1">
      <alignment vertical="center"/>
    </xf>
    <xf numFmtId="37" fontId="9" fillId="0" borderId="25" xfId="7" applyNumberFormat="1" applyFont="1" applyFill="1" applyBorder="1" applyAlignment="1" applyProtection="1">
      <alignment vertical="center"/>
    </xf>
    <xf numFmtId="37" fontId="9" fillId="0" borderId="25" xfId="7" applyNumberFormat="1" applyFont="1" applyFill="1" applyBorder="1" applyAlignment="1" applyProtection="1">
      <alignment vertical="center" shrinkToFit="1"/>
    </xf>
    <xf numFmtId="180" fontId="9" fillId="0" borderId="25" xfId="7" applyNumberFormat="1" applyFont="1" applyFill="1" applyBorder="1" applyAlignment="1" applyProtection="1">
      <alignment vertical="center" shrinkToFit="1"/>
    </xf>
    <xf numFmtId="180" fontId="9" fillId="0" borderId="27" xfId="7" applyNumberFormat="1" applyFont="1" applyFill="1" applyBorder="1" applyAlignment="1" applyProtection="1">
      <alignment vertical="center"/>
    </xf>
    <xf numFmtId="37" fontId="9" fillId="0" borderId="21" xfId="7" applyNumberFormat="1" applyFont="1" applyFill="1" applyBorder="1" applyAlignment="1" applyProtection="1">
      <alignment vertical="center" shrinkToFit="1"/>
    </xf>
    <xf numFmtId="37" fontId="9" fillId="0" borderId="36" xfId="7" applyNumberFormat="1" applyFont="1" applyFill="1" applyBorder="1" applyAlignment="1" applyProtection="1">
      <alignment vertical="center"/>
      <protection locked="0"/>
    </xf>
    <xf numFmtId="180" fontId="9" fillId="0" borderId="37" xfId="7" applyNumberFormat="1" applyFont="1" applyFill="1" applyBorder="1" applyAlignment="1" applyProtection="1">
      <alignment vertical="center"/>
      <protection locked="0"/>
    </xf>
    <xf numFmtId="37" fontId="9" fillId="0" borderId="39" xfId="7" applyNumberFormat="1" applyFont="1" applyFill="1" applyBorder="1" applyAlignment="1" applyProtection="1">
      <alignment vertical="center"/>
      <protection locked="0"/>
    </xf>
    <xf numFmtId="180" fontId="9" fillId="0" borderId="35" xfId="3" applyNumberFormat="1" applyFont="1" applyFill="1" applyBorder="1" applyAlignment="1" applyProtection="1">
      <alignment vertical="center"/>
    </xf>
    <xf numFmtId="37" fontId="9" fillId="0" borderId="30" xfId="7" applyNumberFormat="1" applyFont="1" applyFill="1" applyBorder="1" applyAlignment="1" applyProtection="1">
      <alignment vertical="center"/>
      <protection locked="0"/>
    </xf>
    <xf numFmtId="180" fontId="9" fillId="0" borderId="31" xfId="7" applyNumberFormat="1" applyFont="1" applyFill="1" applyBorder="1" applyAlignment="1" applyProtection="1">
      <alignment vertical="center"/>
      <protection locked="0"/>
    </xf>
    <xf numFmtId="37" fontId="9" fillId="0" borderId="22" xfId="7" applyNumberFormat="1" applyFont="1" applyFill="1" applyBorder="1" applyAlignment="1" applyProtection="1">
      <alignment vertical="center"/>
      <protection locked="0"/>
    </xf>
    <xf numFmtId="180" fontId="9" fillId="0" borderId="29" xfId="3" applyNumberFormat="1" applyFont="1" applyFill="1" applyBorder="1" applyAlignment="1" applyProtection="1">
      <alignment vertical="center"/>
    </xf>
    <xf numFmtId="37" fontId="9" fillId="0" borderId="43" xfId="7" applyNumberFormat="1" applyFont="1" applyFill="1" applyBorder="1" applyAlignment="1" applyProtection="1">
      <alignment vertical="center"/>
      <protection locked="0"/>
    </xf>
    <xf numFmtId="37" fontId="9" fillId="0" borderId="8" xfId="7" applyNumberFormat="1" applyFont="1" applyFill="1" applyBorder="1" applyAlignment="1" applyProtection="1">
      <alignment vertical="center" shrinkToFit="1"/>
    </xf>
    <xf numFmtId="37" fontId="9" fillId="0" borderId="19" xfId="7" applyNumberFormat="1" applyFont="1" applyFill="1" applyBorder="1" applyAlignment="1" applyProtection="1">
      <alignment vertical="center"/>
    </xf>
    <xf numFmtId="37" fontId="9" fillId="0" borderId="41" xfId="7" applyNumberFormat="1" applyFont="1" applyFill="1" applyBorder="1" applyAlignment="1" applyProtection="1">
      <alignment vertical="center"/>
    </xf>
    <xf numFmtId="37" fontId="9" fillId="0" borderId="19" xfId="7" applyNumberFormat="1" applyFont="1" applyFill="1" applyBorder="1" applyAlignment="1" applyProtection="1">
      <alignment vertical="center" shrinkToFit="1"/>
    </xf>
    <xf numFmtId="37" fontId="9" fillId="0" borderId="20" xfId="7" applyNumberFormat="1" applyFont="1" applyFill="1" applyBorder="1" applyAlignment="1" applyProtection="1">
      <alignment vertical="center" shrinkToFit="1"/>
    </xf>
    <xf numFmtId="37" fontId="9" fillId="0" borderId="20" xfId="7" applyNumberFormat="1" applyFont="1" applyFill="1" applyBorder="1" applyAlignment="1" applyProtection="1">
      <alignment vertical="center"/>
    </xf>
    <xf numFmtId="37" fontId="9" fillId="0" borderId="9" xfId="7" applyNumberFormat="1" applyFont="1" applyFill="1" applyBorder="1" applyAlignment="1" applyProtection="1">
      <alignment vertical="center" shrinkToFit="1"/>
    </xf>
    <xf numFmtId="180" fontId="9" fillId="0" borderId="1" xfId="7" applyNumberFormat="1" applyFont="1" applyFill="1" applyBorder="1" applyAlignment="1" applyProtection="1">
      <alignment vertical="center"/>
    </xf>
    <xf numFmtId="37" fontId="9" fillId="0" borderId="26" xfId="7" applyNumberFormat="1" applyFont="1" applyFill="1" applyBorder="1" applyAlignment="1" applyProtection="1">
      <alignment vertical="center" shrinkToFit="1"/>
    </xf>
    <xf numFmtId="37" fontId="9" fillId="0" borderId="27" xfId="7" applyNumberFormat="1" applyFont="1" applyFill="1" applyBorder="1" applyAlignment="1" applyProtection="1">
      <alignment vertical="center"/>
    </xf>
    <xf numFmtId="37" fontId="9" fillId="0" borderId="15" xfId="7" applyNumberFormat="1" applyFont="1" applyFill="1" applyBorder="1" applyAlignment="1" applyProtection="1">
      <alignment vertical="center"/>
    </xf>
    <xf numFmtId="37" fontId="9" fillId="0" borderId="16" xfId="7" applyNumberFormat="1" applyFont="1" applyFill="1" applyBorder="1" applyAlignment="1" applyProtection="1">
      <alignment vertical="center"/>
    </xf>
    <xf numFmtId="37" fontId="9" fillId="0" borderId="47" xfId="7" applyNumberFormat="1" applyFont="1" applyFill="1" applyBorder="1" applyAlignment="1" applyProtection="1">
      <alignment vertical="center"/>
    </xf>
    <xf numFmtId="37" fontId="9" fillId="0" borderId="8" xfId="7" applyNumberFormat="1" applyFont="1" applyFill="1" applyBorder="1" applyAlignment="1" applyProtection="1">
      <alignment vertical="center"/>
    </xf>
    <xf numFmtId="37" fontId="9" fillId="0" borderId="30" xfId="7" applyNumberFormat="1" applyFont="1" applyFill="1" applyBorder="1" applyAlignment="1" applyProtection="1">
      <alignment vertical="center" shrinkToFit="1"/>
      <protection locked="0"/>
    </xf>
    <xf numFmtId="37" fontId="9" fillId="0" borderId="21" xfId="7" applyNumberFormat="1" applyFont="1" applyFill="1" applyBorder="1" applyAlignment="1" applyProtection="1">
      <alignment vertical="center"/>
    </xf>
    <xf numFmtId="37" fontId="8" fillId="0" borderId="23" xfId="0" applyNumberFormat="1" applyFont="1" applyFill="1" applyBorder="1" applyAlignment="1" applyProtection="1">
      <alignment horizontal="distributed" vertical="center"/>
    </xf>
    <xf numFmtId="37" fontId="8" fillId="0" borderId="44" xfId="0" applyNumberFormat="1" applyFont="1" applyFill="1" applyBorder="1" applyAlignment="1" applyProtection="1">
      <alignment horizontal="distributed" vertical="center"/>
    </xf>
    <xf numFmtId="37" fontId="8" fillId="0" borderId="2" xfId="0" applyNumberFormat="1" applyFont="1" applyFill="1" applyBorder="1" applyAlignment="1" applyProtection="1">
      <alignment horizontal="center" vertical="center" shrinkToFit="1"/>
    </xf>
    <xf numFmtId="37" fontId="9" fillId="0" borderId="39" xfId="7" applyNumberFormat="1" applyFont="1" applyFill="1" applyBorder="1" applyAlignment="1" applyProtection="1">
      <alignment vertical="center"/>
    </xf>
    <xf numFmtId="37" fontId="9" fillId="0" borderId="22" xfId="7" applyNumberFormat="1" applyFont="1" applyFill="1" applyBorder="1" applyAlignment="1" applyProtection="1">
      <alignment vertical="center"/>
    </xf>
    <xf numFmtId="37" fontId="9" fillId="0" borderId="27" xfId="7" applyNumberFormat="1" applyFont="1" applyFill="1" applyBorder="1" applyAlignment="1" applyProtection="1">
      <alignment vertical="center" shrinkToFit="1"/>
    </xf>
    <xf numFmtId="37" fontId="8" fillId="0" borderId="11" xfId="7" applyNumberFormat="1" applyFont="1" applyFill="1" applyBorder="1" applyAlignment="1" applyProtection="1">
      <alignment horizontal="center" vertical="center"/>
    </xf>
    <xf numFmtId="37" fontId="9" fillId="0" borderId="36" xfId="7" applyNumberFormat="1" applyFont="1" applyFill="1" applyBorder="1" applyAlignment="1" applyProtection="1">
      <alignment vertical="center" shrinkToFit="1"/>
      <protection locked="0"/>
    </xf>
    <xf numFmtId="180" fontId="9" fillId="0" borderId="35" xfId="7" applyNumberFormat="1" applyFont="1" applyFill="1" applyBorder="1" applyAlignment="1" applyProtection="1">
      <alignment vertical="center"/>
    </xf>
    <xf numFmtId="37" fontId="9" fillId="0" borderId="40" xfId="7" applyNumberFormat="1" applyFont="1" applyFill="1" applyBorder="1" applyAlignment="1" applyProtection="1">
      <alignment vertical="center"/>
    </xf>
    <xf numFmtId="37" fontId="9" fillId="0" borderId="23" xfId="7" applyNumberFormat="1" applyFont="1" applyFill="1" applyBorder="1" applyAlignment="1" applyProtection="1">
      <alignment vertical="center"/>
    </xf>
    <xf numFmtId="37" fontId="9" fillId="0" borderId="44" xfId="7" applyNumberFormat="1" applyFont="1" applyFill="1" applyBorder="1" applyAlignment="1" applyProtection="1">
      <alignment vertical="center"/>
    </xf>
    <xf numFmtId="180" fontId="9" fillId="0" borderId="27" xfId="7" applyNumberFormat="1" applyFont="1" applyFill="1" applyBorder="1" applyAlignment="1" applyProtection="1">
      <alignment vertical="center" shrinkToFit="1"/>
    </xf>
    <xf numFmtId="37" fontId="9" fillId="0" borderId="54" xfId="7" applyNumberFormat="1" applyFont="1" applyFill="1" applyBorder="1" applyAlignment="1" applyProtection="1">
      <alignment vertical="center" shrinkToFit="1"/>
    </xf>
    <xf numFmtId="37" fontId="8" fillId="0" borderId="10" xfId="5" applyNumberFormat="1" applyFont="1" applyFill="1" applyBorder="1" applyAlignment="1" applyProtection="1">
      <alignment vertical="center"/>
    </xf>
    <xf numFmtId="37" fontId="8" fillId="0" borderId="12" xfId="5" applyNumberFormat="1" applyFont="1" applyFill="1" applyBorder="1" applyAlignment="1" applyProtection="1">
      <alignment vertical="center"/>
    </xf>
    <xf numFmtId="37" fontId="10" fillId="0" borderId="5" xfId="5" applyNumberFormat="1" applyFont="1" applyFill="1" applyBorder="1" applyAlignment="1" applyProtection="1">
      <alignment vertical="center"/>
    </xf>
    <xf numFmtId="37" fontId="11" fillId="0" borderId="11" xfId="5" applyNumberFormat="1" applyFont="1" applyFill="1" applyBorder="1" applyAlignment="1" applyProtection="1">
      <alignment horizontal="center" vertical="center"/>
    </xf>
    <xf numFmtId="37" fontId="12" fillId="0" borderId="36" xfId="5" applyNumberFormat="1" applyFont="1" applyFill="1" applyBorder="1" applyAlignment="1" applyProtection="1">
      <alignment vertical="center"/>
      <protection locked="0"/>
    </xf>
    <xf numFmtId="37" fontId="12" fillId="0" borderId="37" xfId="5" applyNumberFormat="1" applyFont="1" applyFill="1" applyBorder="1" applyAlignment="1" applyProtection="1">
      <alignment vertical="center"/>
      <protection locked="0"/>
    </xf>
    <xf numFmtId="37" fontId="12" fillId="0" borderId="37" xfId="5" applyNumberFormat="1" applyFont="1" applyFill="1" applyBorder="1" applyAlignment="1" applyProtection="1">
      <alignment vertical="center" shrinkToFit="1"/>
      <protection locked="0"/>
    </xf>
    <xf numFmtId="37" fontId="12" fillId="0" borderId="37" xfId="5" applyNumberFormat="1" applyFont="1" applyFill="1" applyBorder="1" applyAlignment="1" applyProtection="1">
      <alignment vertical="center"/>
    </xf>
    <xf numFmtId="37" fontId="12" fillId="0" borderId="41" xfId="5" applyNumberFormat="1" applyFont="1" applyFill="1" applyBorder="1" applyAlignment="1" applyProtection="1">
      <alignment vertical="center"/>
      <protection locked="0"/>
    </xf>
    <xf numFmtId="37" fontId="12" fillId="0" borderId="43" xfId="5" applyNumberFormat="1" applyFont="1" applyFill="1" applyBorder="1" applyAlignment="1" applyProtection="1">
      <alignment vertical="center"/>
    </xf>
    <xf numFmtId="37" fontId="12" fillId="0" borderId="35" xfId="5" applyNumberFormat="1" applyFont="1" applyFill="1" applyBorder="1" applyAlignment="1" applyProtection="1">
      <alignment vertical="center"/>
    </xf>
    <xf numFmtId="37" fontId="12" fillId="0" borderId="30" xfId="5" applyNumberFormat="1" applyFont="1" applyFill="1" applyBorder="1" applyAlignment="1" applyProtection="1">
      <alignment vertical="center"/>
      <protection locked="0"/>
    </xf>
    <xf numFmtId="37" fontId="12" fillId="0" borderId="31" xfId="5" applyNumberFormat="1" applyFont="1" applyFill="1" applyBorder="1" applyAlignment="1" applyProtection="1">
      <alignment vertical="center"/>
      <protection locked="0"/>
    </xf>
    <xf numFmtId="37" fontId="12" fillId="0" borderId="31" xfId="5" applyNumberFormat="1" applyFont="1" applyFill="1" applyBorder="1" applyAlignment="1" applyProtection="1">
      <alignment vertical="center" shrinkToFit="1"/>
      <protection locked="0"/>
    </xf>
    <xf numFmtId="37" fontId="12" fillId="0" borderId="31" xfId="5" applyNumberFormat="1" applyFont="1" applyFill="1" applyBorder="1" applyAlignment="1" applyProtection="1">
      <alignment vertical="center"/>
    </xf>
    <xf numFmtId="37" fontId="12" fillId="0" borderId="22" xfId="5" applyNumberFormat="1" applyFont="1" applyFill="1" applyBorder="1" applyAlignment="1" applyProtection="1">
      <alignment vertical="center"/>
    </xf>
    <xf numFmtId="37" fontId="12" fillId="0" borderId="29" xfId="5" applyNumberFormat="1" applyFont="1" applyFill="1" applyBorder="1" applyAlignment="1" applyProtection="1">
      <alignment vertical="center"/>
    </xf>
    <xf numFmtId="37" fontId="12" fillId="0" borderId="8" xfId="5" applyNumberFormat="1" applyFont="1" applyFill="1" applyBorder="1" applyAlignment="1" applyProtection="1">
      <alignment vertical="center"/>
    </xf>
    <xf numFmtId="37" fontId="12" fillId="0" borderId="1" xfId="5" applyNumberFormat="1" applyFont="1" applyFill="1" applyBorder="1" applyAlignment="1" applyProtection="1">
      <alignment vertical="center"/>
    </xf>
    <xf numFmtId="37" fontId="12" fillId="0" borderId="1" xfId="5" applyNumberFormat="1" applyFont="1" applyFill="1" applyBorder="1" applyAlignment="1" applyProtection="1">
      <alignment vertical="center" shrinkToFit="1"/>
    </xf>
    <xf numFmtId="37" fontId="12" fillId="0" borderId="20" xfId="5" applyNumberFormat="1" applyFont="1" applyFill="1" applyBorder="1" applyAlignment="1" applyProtection="1">
      <alignment vertical="center"/>
    </xf>
    <xf numFmtId="37" fontId="12" fillId="0" borderId="9" xfId="5" applyNumberFormat="1" applyFont="1" applyFill="1" applyBorder="1" applyAlignment="1" applyProtection="1">
      <alignment vertical="center"/>
    </xf>
    <xf numFmtId="37" fontId="12" fillId="0" borderId="26" xfId="5" applyNumberFormat="1" applyFont="1" applyFill="1" applyBorder="1" applyAlignment="1" applyProtection="1">
      <alignment vertical="center" shrinkToFit="1"/>
    </xf>
    <xf numFmtId="37" fontId="12" fillId="0" borderId="25" xfId="5" applyNumberFormat="1" applyFont="1" applyFill="1" applyBorder="1" applyAlignment="1" applyProtection="1">
      <alignment vertical="center" shrinkToFit="1"/>
    </xf>
    <xf numFmtId="37" fontId="12" fillId="0" borderId="21" xfId="5" applyNumberFormat="1" applyFont="1" applyFill="1" applyBorder="1" applyAlignment="1" applyProtection="1">
      <alignment vertical="center" shrinkToFit="1"/>
    </xf>
    <xf numFmtId="37" fontId="12" fillId="0" borderId="35" xfId="5" applyNumberFormat="1" applyFont="1" applyFill="1" applyBorder="1" applyAlignment="1" applyProtection="1">
      <alignment vertical="center"/>
      <protection locked="0"/>
    </xf>
    <xf numFmtId="37" fontId="12" fillId="0" borderId="29" xfId="5" applyNumberFormat="1" applyFont="1" applyFill="1" applyBorder="1" applyAlignment="1" applyProtection="1">
      <alignment vertical="center"/>
      <protection locked="0"/>
    </xf>
    <xf numFmtId="37" fontId="13" fillId="0" borderId="0" xfId="7" applyNumberFormat="1" applyFont="1" applyFill="1" applyAlignment="1" applyProtection="1">
      <alignment vertical="center"/>
    </xf>
    <xf numFmtId="37" fontId="14" fillId="0" borderId="5" xfId="7" applyNumberFormat="1" applyFont="1" applyFill="1" applyBorder="1" applyAlignment="1" applyProtection="1">
      <alignment vertical="center"/>
    </xf>
    <xf numFmtId="37" fontId="15" fillId="0" borderId="0" xfId="7" applyNumberFormat="1" applyFont="1" applyFill="1" applyAlignment="1" applyProtection="1">
      <alignment vertical="center"/>
    </xf>
    <xf numFmtId="37" fontId="10" fillId="0" borderId="5" xfId="6" applyNumberFormat="1" applyFont="1" applyFill="1" applyBorder="1" applyAlignment="1" applyProtection="1">
      <alignment vertical="center"/>
    </xf>
    <xf numFmtId="37" fontId="11" fillId="0" borderId="6" xfId="6" applyNumberFormat="1" applyFont="1" applyFill="1" applyBorder="1" applyAlignment="1" applyProtection="1">
      <alignment horizontal="center" vertical="center"/>
    </xf>
    <xf numFmtId="37" fontId="11" fillId="0" borderId="7" xfId="6" applyNumberFormat="1" applyFont="1" applyFill="1" applyBorder="1" applyAlignment="1" applyProtection="1">
      <alignment horizontal="center" vertical="center"/>
    </xf>
    <xf numFmtId="178" fontId="12" fillId="0" borderId="36" xfId="6" applyNumberFormat="1" applyFont="1" applyFill="1" applyBorder="1" applyAlignment="1" applyProtection="1">
      <alignment vertical="center"/>
      <protection locked="0"/>
    </xf>
    <xf numFmtId="178" fontId="12" fillId="0" borderId="37" xfId="6" applyNumberFormat="1" applyFont="1" applyFill="1" applyBorder="1" applyAlignment="1" applyProtection="1">
      <alignment vertical="center"/>
      <protection locked="0"/>
    </xf>
    <xf numFmtId="178" fontId="12" fillId="0" borderId="37" xfId="6" applyNumberFormat="1" applyFont="1" applyFill="1" applyBorder="1" applyAlignment="1" applyProtection="1">
      <alignment vertical="center"/>
    </xf>
    <xf numFmtId="178" fontId="12" fillId="0" borderId="31" xfId="6" applyNumberFormat="1" applyFont="1" applyFill="1" applyBorder="1" applyAlignment="1" applyProtection="1">
      <alignment vertical="center"/>
    </xf>
    <xf numFmtId="178" fontId="12" fillId="0" borderId="35" xfId="6" applyNumberFormat="1" applyFont="1" applyFill="1" applyBorder="1" applyAlignment="1" applyProtection="1">
      <alignment vertical="center"/>
    </xf>
    <xf numFmtId="178" fontId="12" fillId="0" borderId="30" xfId="6" applyNumberFormat="1" applyFont="1" applyFill="1" applyBorder="1" applyAlignment="1" applyProtection="1">
      <alignment vertical="center"/>
      <protection locked="0"/>
    </xf>
    <xf numFmtId="178" fontId="12" fillId="0" borderId="31" xfId="6" applyNumberFormat="1" applyFont="1" applyFill="1" applyBorder="1" applyAlignment="1" applyProtection="1">
      <alignment vertical="center"/>
      <protection locked="0"/>
    </xf>
    <xf numFmtId="178" fontId="12" fillId="0" borderId="29" xfId="6" applyNumberFormat="1" applyFont="1" applyFill="1" applyBorder="1" applyAlignment="1" applyProtection="1">
      <alignment vertical="center"/>
    </xf>
    <xf numFmtId="178" fontId="12" fillId="0" borderId="8" xfId="6" applyNumberFormat="1" applyFont="1" applyFill="1" applyBorder="1" applyAlignment="1" applyProtection="1">
      <alignment vertical="center"/>
    </xf>
    <xf numFmtId="178" fontId="12" fillId="0" borderId="1" xfId="6" applyNumberFormat="1" applyFont="1" applyFill="1" applyBorder="1" applyAlignment="1" applyProtection="1">
      <alignment vertical="center"/>
    </xf>
    <xf numFmtId="178" fontId="12" fillId="0" borderId="1" xfId="6" applyNumberFormat="1" applyFont="1" applyFill="1" applyBorder="1" applyAlignment="1" applyProtection="1">
      <alignment vertical="center" shrinkToFit="1"/>
    </xf>
    <xf numFmtId="178" fontId="12" fillId="0" borderId="9" xfId="6" applyNumberFormat="1" applyFont="1" applyFill="1" applyBorder="1" applyAlignment="1" applyProtection="1">
      <alignment vertical="center"/>
    </xf>
    <xf numFmtId="178" fontId="12" fillId="0" borderId="41" xfId="6" applyNumberFormat="1" applyFont="1" applyFill="1" applyBorder="1" applyAlignment="1" applyProtection="1">
      <alignment vertical="center"/>
    </xf>
    <xf numFmtId="178" fontId="12" fillId="0" borderId="49" xfId="6" applyNumberFormat="1" applyFont="1" applyFill="1" applyBorder="1" applyAlignment="1" applyProtection="1">
      <alignment vertical="center"/>
    </xf>
    <xf numFmtId="178" fontId="12" fillId="0" borderId="26" xfId="6" applyNumberFormat="1" applyFont="1" applyFill="1" applyBorder="1" applyAlignment="1" applyProtection="1">
      <alignment vertical="center" shrinkToFit="1"/>
    </xf>
    <xf numFmtId="178" fontId="12" fillId="0" borderId="25" xfId="6" applyNumberFormat="1" applyFont="1" applyFill="1" applyBorder="1" applyAlignment="1" applyProtection="1">
      <alignment vertical="center" shrinkToFit="1"/>
    </xf>
    <xf numFmtId="178" fontId="12" fillId="0" borderId="21" xfId="6" applyNumberFormat="1" applyFont="1" applyFill="1" applyBorder="1" applyAlignment="1" applyProtection="1">
      <alignment vertical="center" shrinkToFit="1"/>
    </xf>
    <xf numFmtId="178" fontId="12" fillId="0" borderId="19" xfId="6" applyNumberFormat="1" applyFont="1" applyFill="1" applyBorder="1" applyAlignment="1" applyProtection="1">
      <alignment vertical="center"/>
    </xf>
    <xf numFmtId="37" fontId="11" fillId="0" borderId="11" xfId="4" applyNumberFormat="1" applyFont="1" applyFill="1" applyBorder="1" applyAlignment="1" applyProtection="1">
      <alignment horizontal="center" vertical="center"/>
    </xf>
    <xf numFmtId="37" fontId="8" fillId="0" borderId="11" xfId="0" applyNumberFormat="1" applyFont="1" applyFill="1" applyBorder="1" applyAlignment="1" applyProtection="1">
      <alignment horizontal="distributed" vertical="center"/>
    </xf>
    <xf numFmtId="37" fontId="8" fillId="0" borderId="11" xfId="0" applyNumberFormat="1" applyFont="1" applyFill="1" applyBorder="1" applyAlignment="1" applyProtection="1">
      <alignment horizontal="center" vertical="center" shrinkToFit="1"/>
    </xf>
    <xf numFmtId="37" fontId="4" fillId="0" borderId="0" xfId="5" applyNumberFormat="1" applyFont="1" applyFill="1" applyBorder="1" applyAlignment="1" applyProtection="1">
      <alignment horizontal="center" vertical="center"/>
    </xf>
    <xf numFmtId="37" fontId="4" fillId="0" borderId="0" xfId="7" applyNumberFormat="1" applyFont="1" applyFill="1" applyBorder="1" applyAlignment="1" applyProtection="1">
      <alignment horizontal="center" vertical="center"/>
    </xf>
    <xf numFmtId="37" fontId="8" fillId="0" borderId="11" xfId="0" applyNumberFormat="1" applyFont="1" applyFill="1" applyBorder="1" applyAlignment="1" applyProtection="1">
      <alignment horizontal="distributed" vertical="center" wrapText="1"/>
    </xf>
    <xf numFmtId="37" fontId="8" fillId="0" borderId="11" xfId="0" applyNumberFormat="1" applyFont="1" applyFill="1" applyBorder="1" applyAlignment="1" applyProtection="1">
      <alignment horizontal="center" vertical="center"/>
    </xf>
    <xf numFmtId="37" fontId="11" fillId="0" borderId="11" xfId="4" applyNumberFormat="1" applyFont="1" applyFill="1" applyBorder="1" applyAlignment="1" applyProtection="1">
      <alignment horizontal="center" vertical="center" justifyLastLine="1"/>
    </xf>
    <xf numFmtId="37" fontId="8" fillId="0" borderId="11" xfId="4" applyNumberFormat="1" applyFont="1" applyFill="1" applyBorder="1" applyAlignment="1" applyProtection="1">
      <alignment horizontal="center" vertical="center" justifyLastLine="1"/>
    </xf>
    <xf numFmtId="37" fontId="4" fillId="0" borderId="0" xfId="6" applyNumberFormat="1" applyFont="1" applyFill="1" applyBorder="1" applyAlignment="1" applyProtection="1">
      <alignment horizontal="center" vertical="center"/>
    </xf>
    <xf numFmtId="37" fontId="11" fillId="0" borderId="11" xfId="6" applyNumberFormat="1" applyFont="1" applyFill="1" applyBorder="1" applyAlignment="1" applyProtection="1">
      <alignment horizontal="center" vertical="center"/>
    </xf>
    <xf numFmtId="178" fontId="8" fillId="0" borderId="11" xfId="0" applyNumberFormat="1" applyFont="1" applyFill="1" applyBorder="1" applyAlignment="1" applyProtection="1">
      <alignment horizontal="center" vertical="center" shrinkToFit="1"/>
    </xf>
    <xf numFmtId="178" fontId="8" fillId="0" borderId="4" xfId="0" applyNumberFormat="1" applyFont="1" applyFill="1" applyBorder="1" applyAlignment="1" applyProtection="1">
      <alignment horizontal="center" vertical="center" shrinkToFit="1"/>
    </xf>
    <xf numFmtId="37" fontId="16" fillId="0" borderId="1" xfId="0" applyNumberFormat="1" applyFont="1" applyFill="1" applyBorder="1" applyAlignment="1" applyProtection="1">
      <alignment horizontal="distributed" vertical="center" wrapText="1"/>
    </xf>
    <xf numFmtId="176" fontId="3" fillId="2" borderId="0" xfId="0" applyFont="1" applyFill="1" applyAlignment="1">
      <alignment vertical="center"/>
    </xf>
    <xf numFmtId="37" fontId="5" fillId="2" borderId="0" xfId="0" applyNumberFormat="1" applyFont="1" applyFill="1" applyAlignment="1" applyProtection="1">
      <alignment vertical="center"/>
    </xf>
    <xf numFmtId="176" fontId="5" fillId="2" borderId="0" xfId="0" applyFont="1" applyFill="1" applyAlignment="1">
      <alignment vertical="center"/>
    </xf>
    <xf numFmtId="37" fontId="3" fillId="2" borderId="0" xfId="0" applyNumberFormat="1" applyFont="1" applyFill="1" applyAlignment="1" applyProtection="1">
      <alignment vertical="center"/>
    </xf>
    <xf numFmtId="176" fontId="3" fillId="2" borderId="0" xfId="0" applyNumberFormat="1" applyFont="1" applyFill="1" applyAlignment="1" applyProtection="1">
      <alignment vertical="center"/>
    </xf>
    <xf numFmtId="176" fontId="17" fillId="2" borderId="0" xfId="0" applyFont="1" applyFill="1" applyAlignment="1">
      <alignment vertical="center"/>
    </xf>
    <xf numFmtId="37" fontId="17" fillId="2" borderId="0" xfId="0" applyNumberFormat="1" applyFont="1" applyFill="1" applyAlignment="1" applyProtection="1">
      <alignment vertical="center"/>
    </xf>
    <xf numFmtId="176" fontId="17" fillId="2" borderId="0" xfId="0" applyFont="1" applyFill="1" applyAlignment="1" applyProtection="1">
      <alignment vertical="center"/>
    </xf>
    <xf numFmtId="0" fontId="3" fillId="2" borderId="0" xfId="4" applyFont="1" applyFill="1" applyAlignment="1">
      <alignment vertical="center"/>
    </xf>
    <xf numFmtId="37" fontId="3" fillId="2" borderId="0" xfId="4" applyNumberFormat="1" applyFont="1" applyFill="1" applyAlignment="1" applyProtection="1">
      <alignment vertical="center"/>
    </xf>
    <xf numFmtId="37" fontId="3" fillId="2" borderId="0" xfId="4" applyNumberFormat="1" applyFont="1" applyFill="1" applyAlignment="1" applyProtection="1">
      <alignment horizontal="center" vertical="center"/>
    </xf>
    <xf numFmtId="37" fontId="5" fillId="2" borderId="0" xfId="4" applyNumberFormat="1" applyFont="1" applyFill="1" applyAlignment="1" applyProtection="1">
      <alignment vertical="center"/>
    </xf>
    <xf numFmtId="37" fontId="5" fillId="2" borderId="0" xfId="4" applyNumberFormat="1" applyFont="1" applyFill="1" applyAlignment="1" applyProtection="1">
      <alignment horizontal="center" vertical="center"/>
    </xf>
    <xf numFmtId="37" fontId="4" fillId="2" borderId="0" xfId="4" applyNumberFormat="1" applyFont="1" applyFill="1" applyAlignment="1" applyProtection="1">
      <alignment horizontal="center" vertical="center"/>
    </xf>
    <xf numFmtId="37" fontId="4" fillId="2" borderId="0" xfId="4" applyNumberFormat="1" applyFont="1" applyFill="1" applyBorder="1" applyAlignment="1" applyProtection="1">
      <alignment vertical="center"/>
    </xf>
    <xf numFmtId="37" fontId="3" fillId="2" borderId="0" xfId="4" applyNumberFormat="1" applyFont="1" applyFill="1" applyBorder="1" applyAlignment="1" applyProtection="1">
      <alignment vertical="center"/>
    </xf>
    <xf numFmtId="37" fontId="4" fillId="2" borderId="0" xfId="4" applyNumberFormat="1" applyFont="1" applyFill="1" applyBorder="1" applyAlignment="1" applyProtection="1">
      <alignment horizontal="center" vertical="center"/>
    </xf>
    <xf numFmtId="37" fontId="11" fillId="2" borderId="11" xfId="4" applyNumberFormat="1" applyFont="1" applyFill="1" applyBorder="1" applyAlignment="1" applyProtection="1">
      <alignment horizontal="center" vertical="center"/>
    </xf>
    <xf numFmtId="37" fontId="6" fillId="2" borderId="1" xfId="4" applyNumberFormat="1" applyFont="1" applyFill="1" applyBorder="1" applyAlignment="1" applyProtection="1">
      <alignment horizontal="center" vertical="center" shrinkToFit="1"/>
    </xf>
    <xf numFmtId="37" fontId="6" fillId="2" borderId="34" xfId="4" applyNumberFormat="1" applyFont="1" applyFill="1" applyBorder="1" applyAlignment="1" applyProtection="1">
      <alignment horizontal="center" vertical="center" shrinkToFit="1"/>
    </xf>
    <xf numFmtId="37" fontId="6" fillId="2" borderId="20" xfId="4" applyNumberFormat="1" applyFont="1" applyFill="1" applyBorder="1" applyAlignment="1" applyProtection="1">
      <alignment horizontal="center" vertical="center" shrinkToFit="1"/>
    </xf>
    <xf numFmtId="37" fontId="6" fillId="2" borderId="8" xfId="4" applyNumberFormat="1" applyFont="1" applyFill="1" applyBorder="1" applyAlignment="1" applyProtection="1">
      <alignment horizontal="center" vertical="center" shrinkToFit="1"/>
    </xf>
    <xf numFmtId="37" fontId="6" fillId="2" borderId="9" xfId="4" applyNumberFormat="1" applyFont="1" applyFill="1" applyBorder="1" applyAlignment="1" applyProtection="1">
      <alignment horizontal="center" vertical="center" shrinkToFit="1"/>
    </xf>
    <xf numFmtId="37" fontId="8" fillId="2" borderId="11" xfId="0" applyNumberFormat="1" applyFont="1" applyFill="1" applyBorder="1" applyAlignment="1" applyProtection="1">
      <alignment horizontal="distributed" vertical="center"/>
    </xf>
    <xf numFmtId="37" fontId="9" fillId="2" borderId="1" xfId="0" applyNumberFormat="1" applyFont="1" applyFill="1" applyBorder="1" applyAlignment="1" applyProtection="1">
      <alignment vertical="center"/>
    </xf>
    <xf numFmtId="176" fontId="9" fillId="2" borderId="1" xfId="0" applyNumberFormat="1" applyFont="1" applyFill="1" applyBorder="1" applyAlignment="1" applyProtection="1">
      <alignment vertical="center" shrinkToFit="1"/>
    </xf>
    <xf numFmtId="37" fontId="9" fillId="2" borderId="9" xfId="4" applyNumberFormat="1" applyFont="1" applyFill="1" applyBorder="1" applyAlignment="1" applyProtection="1">
      <alignment vertical="center"/>
    </xf>
    <xf numFmtId="37" fontId="8" fillId="2" borderId="44" xfId="0" applyNumberFormat="1" applyFont="1" applyFill="1" applyBorder="1" applyAlignment="1" applyProtection="1">
      <alignment horizontal="distributed" vertical="center"/>
    </xf>
    <xf numFmtId="37" fontId="8" fillId="2" borderId="9" xfId="0" applyNumberFormat="1" applyFont="1" applyFill="1" applyBorder="1" applyAlignment="1" applyProtection="1">
      <alignment horizontal="distributed" vertical="center"/>
    </xf>
    <xf numFmtId="0" fontId="3" fillId="2" borderId="0" xfId="4" applyFont="1" applyFill="1" applyAlignment="1" applyProtection="1">
      <alignment vertical="center"/>
    </xf>
    <xf numFmtId="37" fontId="8" fillId="0" borderId="12" xfId="0" applyNumberFormat="1" applyFont="1" applyFill="1" applyBorder="1" applyAlignment="1" applyProtection="1">
      <alignment horizontal="center" vertical="center" shrinkToFit="1"/>
    </xf>
    <xf numFmtId="37" fontId="12" fillId="0" borderId="37" xfId="5" applyNumberFormat="1" applyFont="1" applyFill="1" applyBorder="1" applyAlignment="1" applyProtection="1">
      <alignment horizontal="center" vertical="center"/>
      <protection locked="0"/>
    </xf>
    <xf numFmtId="37" fontId="8" fillId="0" borderId="6" xfId="0" applyNumberFormat="1" applyFont="1" applyFill="1" applyBorder="1" applyAlignment="1" applyProtection="1">
      <alignment vertical="center"/>
    </xf>
    <xf numFmtId="0" fontId="3" fillId="0" borderId="0" xfId="7" applyFont="1" applyFill="1" applyBorder="1" applyAlignment="1">
      <alignment vertical="center"/>
    </xf>
    <xf numFmtId="178" fontId="8" fillId="0" borderId="6" xfId="0" applyNumberFormat="1" applyFont="1" applyFill="1" applyBorder="1" applyAlignment="1" applyProtection="1">
      <alignment vertical="center"/>
    </xf>
    <xf numFmtId="178" fontId="9" fillId="0" borderId="39" xfId="6" applyNumberFormat="1" applyFont="1" applyFill="1" applyBorder="1" applyAlignment="1" applyProtection="1">
      <alignment vertical="center"/>
    </xf>
    <xf numFmtId="178" fontId="9" fillId="0" borderId="37" xfId="6" applyNumberFormat="1" applyFont="1" applyFill="1" applyBorder="1" applyAlignment="1" applyProtection="1">
      <alignment vertical="center" shrinkToFit="1"/>
    </xf>
    <xf numFmtId="37" fontId="12" fillId="0" borderId="31" xfId="5" applyNumberFormat="1" applyFont="1" applyFill="1" applyBorder="1" applyAlignment="1" applyProtection="1">
      <alignment horizontal="center" vertical="center"/>
      <protection locked="0"/>
    </xf>
    <xf numFmtId="37" fontId="12" fillId="0" borderId="29" xfId="5" applyNumberFormat="1" applyFont="1" applyFill="1" applyBorder="1" applyAlignment="1" applyProtection="1">
      <alignment horizontal="center" vertical="center"/>
      <protection locked="0"/>
    </xf>
    <xf numFmtId="37" fontId="8" fillId="0" borderId="3" xfId="0" applyNumberFormat="1" applyFont="1" applyFill="1" applyBorder="1" applyAlignment="1" applyProtection="1">
      <alignment horizontal="center" vertical="center"/>
    </xf>
    <xf numFmtId="180" fontId="9" fillId="0" borderId="29" xfId="7" applyNumberFormat="1" applyFont="1" applyFill="1" applyBorder="1" applyAlignment="1" applyProtection="1">
      <alignment vertical="center"/>
    </xf>
    <xf numFmtId="178" fontId="8" fillId="0" borderId="3" xfId="0" applyNumberFormat="1" applyFont="1" applyFill="1" applyBorder="1" applyAlignment="1" applyProtection="1">
      <alignment horizontal="center" vertical="center"/>
    </xf>
    <xf numFmtId="178" fontId="12" fillId="0" borderId="41" xfId="6" applyNumberFormat="1" applyFont="1" applyFill="1" applyBorder="1" applyAlignment="1" applyProtection="1">
      <alignment vertical="center"/>
      <protection locked="0"/>
    </xf>
    <xf numFmtId="178" fontId="9" fillId="0" borderId="22" xfId="6" applyNumberFormat="1" applyFont="1" applyFill="1" applyBorder="1" applyAlignment="1" applyProtection="1">
      <alignment vertical="center"/>
    </xf>
    <xf numFmtId="178" fontId="9" fillId="0" borderId="31" xfId="6" applyNumberFormat="1" applyFont="1" applyFill="1" applyBorder="1" applyAlignment="1" applyProtection="1">
      <alignment vertical="center" shrinkToFit="1"/>
    </xf>
    <xf numFmtId="37" fontId="9" fillId="2" borderId="8" xfId="0" applyNumberFormat="1" applyFont="1" applyFill="1" applyBorder="1" applyAlignment="1" applyProtection="1">
      <alignment vertical="center"/>
    </xf>
    <xf numFmtId="37" fontId="9" fillId="2" borderId="68" xfId="0" applyNumberFormat="1" applyFont="1" applyFill="1" applyBorder="1" applyAlignment="1" applyProtection="1">
      <alignment vertical="center"/>
    </xf>
    <xf numFmtId="176" fontId="9" fillId="2" borderId="16" xfId="0" applyNumberFormat="1" applyFont="1" applyFill="1" applyBorder="1" applyAlignment="1" applyProtection="1">
      <alignment vertical="center"/>
    </xf>
    <xf numFmtId="37" fontId="9" fillId="0" borderId="46" xfId="7" applyNumberFormat="1" applyFont="1" applyFill="1" applyBorder="1" applyAlignment="1" applyProtection="1">
      <alignment vertical="center"/>
    </xf>
    <xf numFmtId="37" fontId="8" fillId="0" borderId="7" xfId="0" applyNumberFormat="1" applyFont="1" applyFill="1" applyBorder="1" applyAlignment="1" applyProtection="1">
      <alignment vertical="center"/>
    </xf>
    <xf numFmtId="180" fontId="9" fillId="0" borderId="9" xfId="7" applyNumberFormat="1" applyFont="1" applyFill="1" applyBorder="1" applyAlignment="1" applyProtection="1">
      <alignment vertical="center"/>
    </xf>
    <xf numFmtId="49" fontId="18" fillId="0" borderId="11" xfId="6" applyNumberFormat="1" applyFont="1" applyFill="1" applyBorder="1" applyAlignment="1">
      <alignment vertical="center" textRotation="180"/>
    </xf>
    <xf numFmtId="49" fontId="18" fillId="0" borderId="11" xfId="0" applyNumberFormat="1" applyFont="1" applyFill="1" applyBorder="1" applyAlignment="1" applyProtection="1">
      <alignment vertical="center" textRotation="180"/>
    </xf>
    <xf numFmtId="178" fontId="8" fillId="0" borderId="7" xfId="0" applyNumberFormat="1" applyFont="1" applyFill="1" applyBorder="1" applyAlignment="1" applyProtection="1">
      <alignment vertical="center"/>
    </xf>
    <xf numFmtId="178" fontId="12" fillId="0" borderId="45" xfId="6" applyNumberFormat="1" applyFont="1" applyFill="1" applyBorder="1" applyAlignment="1" applyProtection="1">
      <alignment vertical="center"/>
    </xf>
    <xf numFmtId="178" fontId="9" fillId="0" borderId="8" xfId="6" applyNumberFormat="1" applyFont="1" applyFill="1" applyBorder="1" applyAlignment="1" applyProtection="1">
      <alignment vertical="center"/>
    </xf>
    <xf numFmtId="178" fontId="9" fillId="0" borderId="1" xfId="6" applyNumberFormat="1" applyFont="1" applyFill="1" applyBorder="1" applyAlignment="1" applyProtection="1">
      <alignment vertical="center"/>
    </xf>
    <xf numFmtId="178" fontId="9" fillId="0" borderId="1" xfId="6" applyNumberFormat="1" applyFont="1" applyFill="1" applyBorder="1" applyAlignment="1" applyProtection="1">
      <alignment vertical="center" shrinkToFit="1"/>
    </xf>
    <xf numFmtId="178" fontId="9" fillId="0" borderId="20" xfId="6" applyNumberFormat="1" applyFont="1" applyFill="1" applyBorder="1" applyAlignment="1" applyProtection="1">
      <alignment vertical="center"/>
    </xf>
    <xf numFmtId="37" fontId="6" fillId="0" borderId="19" xfId="7" applyNumberFormat="1" applyFont="1" applyFill="1" applyBorder="1" applyAlignment="1" applyProtection="1">
      <alignment horizontal="center" vertical="center"/>
    </xf>
    <xf numFmtId="37" fontId="6" fillId="0" borderId="16" xfId="7" applyNumberFormat="1" applyFont="1" applyFill="1" applyBorder="1" applyAlignment="1" applyProtection="1">
      <alignment horizontal="center" vertical="center"/>
    </xf>
    <xf numFmtId="37" fontId="6" fillId="0" borderId="15" xfId="7" applyNumberFormat="1" applyFont="1" applyFill="1" applyBorder="1" applyAlignment="1" applyProtection="1">
      <alignment horizontal="center" vertical="center"/>
    </xf>
    <xf numFmtId="37" fontId="6" fillId="0" borderId="18" xfId="7" applyNumberFormat="1" applyFont="1" applyFill="1" applyBorder="1" applyAlignment="1" applyProtection="1">
      <alignment horizontal="center" vertical="center"/>
    </xf>
    <xf numFmtId="37" fontId="9" fillId="0" borderId="50" xfId="7" applyNumberFormat="1" applyFont="1" applyFill="1" applyBorder="1" applyAlignment="1" applyProtection="1">
      <alignment vertical="center"/>
      <protection locked="0"/>
    </xf>
    <xf numFmtId="37" fontId="9" fillId="0" borderId="37" xfId="7" applyNumberFormat="1" applyFont="1" applyFill="1" applyBorder="1" applyAlignment="1" applyProtection="1">
      <alignment vertical="center" shrinkToFit="1"/>
      <protection locked="0"/>
    </xf>
    <xf numFmtId="178" fontId="12" fillId="0" borderId="42" xfId="6" applyNumberFormat="1" applyFont="1" applyFill="1" applyBorder="1" applyAlignment="1" applyProtection="1">
      <alignment vertical="center"/>
      <protection locked="0"/>
    </xf>
    <xf numFmtId="178" fontId="9" fillId="0" borderId="42" xfId="6" applyNumberFormat="1" applyFont="1" applyFill="1" applyBorder="1" applyAlignment="1" applyProtection="1">
      <alignment vertical="center"/>
      <protection locked="0"/>
    </xf>
    <xf numFmtId="178" fontId="9" fillId="0" borderId="41" xfId="6" applyNumberFormat="1" applyFont="1" applyFill="1" applyBorder="1" applyAlignment="1" applyProtection="1">
      <alignment vertical="center"/>
      <protection locked="0"/>
    </xf>
    <xf numFmtId="178" fontId="9" fillId="0" borderId="41" xfId="6" applyNumberFormat="1" applyFont="1" applyFill="1" applyBorder="1" applyAlignment="1" applyProtection="1">
      <alignment vertical="center"/>
    </xf>
    <xf numFmtId="178" fontId="9" fillId="0" borderId="41" xfId="6" applyNumberFormat="1" applyFont="1" applyFill="1" applyBorder="1" applyAlignment="1" applyProtection="1">
      <alignment vertical="center" shrinkToFit="1"/>
      <protection locked="0"/>
    </xf>
    <xf numFmtId="178" fontId="9" fillId="0" borderId="43" xfId="6" applyNumberFormat="1" applyFont="1" applyFill="1" applyBorder="1" applyAlignment="1" applyProtection="1">
      <alignment vertical="center"/>
      <protection locked="0"/>
    </xf>
    <xf numFmtId="178" fontId="9" fillId="0" borderId="43" xfId="6" applyNumberFormat="1" applyFont="1" applyFill="1" applyBorder="1" applyAlignment="1" applyProtection="1">
      <alignment vertical="center"/>
    </xf>
    <xf numFmtId="178" fontId="9" fillId="0" borderId="41" xfId="6" applyNumberFormat="1" applyFont="1" applyFill="1" applyBorder="1" applyAlignment="1" applyProtection="1">
      <alignment vertical="center" shrinkToFit="1"/>
    </xf>
    <xf numFmtId="178" fontId="9" fillId="0" borderId="55" xfId="6" applyNumberFormat="1" applyFont="1" applyFill="1" applyBorder="1" applyAlignment="1" applyProtection="1">
      <alignment vertical="center"/>
    </xf>
    <xf numFmtId="0" fontId="3" fillId="0" borderId="0" xfId="6" applyFont="1" applyFill="1" applyAlignment="1" applyProtection="1">
      <alignment vertical="center"/>
      <protection locked="0"/>
    </xf>
    <xf numFmtId="37" fontId="9" fillId="0" borderId="29" xfId="7" applyNumberFormat="1" applyFont="1" applyFill="1" applyBorder="1" applyAlignment="1" applyProtection="1">
      <alignment vertical="center" shrinkToFit="1"/>
    </xf>
    <xf numFmtId="178" fontId="12" fillId="0" borderId="31" xfId="6" applyNumberFormat="1" applyFont="1" applyFill="1" applyBorder="1" applyAlignment="1" applyProtection="1">
      <alignment vertical="center" shrinkToFit="1"/>
      <protection locked="0"/>
    </xf>
    <xf numFmtId="37" fontId="12" fillId="0" borderId="30" xfId="5" applyNumberFormat="1" applyFont="1" applyFill="1" applyBorder="1" applyAlignment="1" applyProtection="1">
      <alignment horizontal="center" vertical="center"/>
      <protection locked="0"/>
    </xf>
    <xf numFmtId="37" fontId="9" fillId="0" borderId="52" xfId="7" applyNumberFormat="1" applyFont="1" applyFill="1" applyBorder="1" applyAlignment="1" applyProtection="1">
      <alignment vertical="center"/>
      <protection locked="0"/>
    </xf>
    <xf numFmtId="37" fontId="9" fillId="0" borderId="41" xfId="7" applyNumberFormat="1" applyFont="1" applyFill="1" applyBorder="1" applyAlignment="1" applyProtection="1">
      <alignment vertical="center"/>
      <protection locked="0"/>
    </xf>
    <xf numFmtId="180" fontId="9" fillId="0" borderId="43" xfId="7" applyNumberFormat="1" applyFont="1" applyFill="1" applyBorder="1" applyAlignment="1" applyProtection="1">
      <alignment vertical="center"/>
      <protection locked="0"/>
    </xf>
    <xf numFmtId="37" fontId="9" fillId="0" borderId="49" xfId="7" applyNumberFormat="1" applyFont="1" applyFill="1" applyBorder="1" applyAlignment="1" applyProtection="1">
      <alignment vertical="center"/>
    </xf>
    <xf numFmtId="37" fontId="9" fillId="0" borderId="31" xfId="7" applyNumberFormat="1" applyFont="1" applyFill="1" applyBorder="1" applyAlignment="1" applyProtection="1">
      <alignment vertical="center" shrinkToFit="1"/>
    </xf>
    <xf numFmtId="180" fontId="19" fillId="0" borderId="22" xfId="7" applyNumberFormat="1" applyFont="1" applyFill="1" applyBorder="1" applyAlignment="1" applyProtection="1">
      <alignment vertical="center"/>
      <protection locked="0"/>
    </xf>
    <xf numFmtId="176" fontId="9" fillId="2" borderId="16" xfId="0" applyNumberFormat="1" applyFont="1" applyFill="1" applyBorder="1" applyAlignment="1" applyProtection="1">
      <alignment vertical="center" shrinkToFit="1"/>
    </xf>
    <xf numFmtId="176" fontId="9" fillId="2" borderId="20" xfId="0" applyNumberFormat="1" applyFont="1" applyFill="1" applyBorder="1" applyAlignment="1" applyProtection="1">
      <alignment vertical="center" shrinkToFit="1"/>
    </xf>
    <xf numFmtId="37" fontId="9" fillId="2" borderId="26" xfId="0" applyNumberFormat="1" applyFont="1" applyFill="1" applyBorder="1" applyAlignment="1" applyProtection="1">
      <alignment vertical="center"/>
    </xf>
    <xf numFmtId="37" fontId="9" fillId="2" borderId="25" xfId="0" applyNumberFormat="1" applyFont="1" applyFill="1" applyBorder="1" applyAlignment="1" applyProtection="1">
      <alignment vertical="center"/>
    </xf>
    <xf numFmtId="176" fontId="9" fillId="2" borderId="25" xfId="0" applyNumberFormat="1" applyFont="1" applyFill="1" applyBorder="1" applyAlignment="1" applyProtection="1">
      <alignment vertical="center"/>
    </xf>
    <xf numFmtId="176" fontId="9" fillId="2" borderId="25" xfId="0" applyNumberFormat="1" applyFont="1" applyFill="1" applyBorder="1" applyAlignment="1" applyProtection="1">
      <alignment vertical="center" shrinkToFit="1"/>
    </xf>
    <xf numFmtId="176" fontId="9" fillId="2" borderId="27" xfId="0" applyNumberFormat="1" applyFont="1" applyFill="1" applyBorder="1" applyAlignment="1" applyProtection="1">
      <alignment vertical="center" shrinkToFit="1"/>
    </xf>
    <xf numFmtId="37" fontId="9" fillId="2" borderId="21" xfId="4" applyNumberFormat="1" applyFont="1" applyFill="1" applyBorder="1" applyAlignment="1" applyProtection="1">
      <alignment vertical="center"/>
    </xf>
    <xf numFmtId="37" fontId="8" fillId="2" borderId="2" xfId="0" applyNumberFormat="1" applyFont="1" applyFill="1" applyBorder="1" applyAlignment="1" applyProtection="1">
      <alignment horizontal="center" vertical="center"/>
    </xf>
    <xf numFmtId="0" fontId="3" fillId="2" borderId="0" xfId="4" applyFont="1" applyFill="1" applyBorder="1" applyAlignment="1">
      <alignment vertical="center"/>
    </xf>
    <xf numFmtId="0" fontId="3" fillId="2" borderId="5" xfId="4" applyFont="1" applyFill="1" applyBorder="1" applyAlignment="1">
      <alignment vertical="center"/>
    </xf>
    <xf numFmtId="37" fontId="8" fillId="2" borderId="45" xfId="0" applyNumberFormat="1" applyFont="1" applyFill="1" applyBorder="1" applyAlignment="1" applyProtection="1">
      <alignment horizontal="distributed" vertical="center"/>
    </xf>
    <xf numFmtId="37" fontId="12" fillId="2" borderId="19" xfId="4" applyNumberFormat="1" applyFont="1" applyFill="1" applyBorder="1" applyAlignment="1" applyProtection="1">
      <alignment vertical="center"/>
    </xf>
    <xf numFmtId="37" fontId="12" fillId="2" borderId="46" xfId="4" applyNumberFormat="1" applyFont="1" applyFill="1" applyBorder="1" applyAlignment="1" applyProtection="1">
      <alignment vertical="center"/>
    </xf>
    <xf numFmtId="37" fontId="12" fillId="2" borderId="18" xfId="4" applyNumberFormat="1" applyFont="1" applyFill="1" applyBorder="1" applyAlignment="1" applyProtection="1">
      <alignment vertical="center"/>
    </xf>
    <xf numFmtId="37" fontId="12" fillId="2" borderId="45" xfId="4" applyNumberFormat="1" applyFont="1" applyFill="1" applyBorder="1" applyAlignment="1" applyProtection="1">
      <alignment vertical="center"/>
    </xf>
    <xf numFmtId="37" fontId="8" fillId="2" borderId="4" xfId="0" applyNumberFormat="1" applyFont="1" applyFill="1" applyBorder="1" applyAlignment="1" applyProtection="1">
      <alignment horizontal="distributed" vertical="center"/>
    </xf>
    <xf numFmtId="0" fontId="3" fillId="2" borderId="0" xfId="4" applyFont="1" applyFill="1" applyAlignment="1">
      <alignment vertical="center" shrinkToFit="1"/>
    </xf>
    <xf numFmtId="37" fontId="12" fillId="2" borderId="25" xfId="4" applyNumberFormat="1" applyFont="1" applyFill="1" applyBorder="1" applyAlignment="1" applyProtection="1">
      <alignment vertical="center" shrinkToFit="1"/>
    </xf>
    <xf numFmtId="37" fontId="12" fillId="2" borderId="27" xfId="4" applyNumberFormat="1" applyFont="1" applyFill="1" applyBorder="1" applyAlignment="1" applyProtection="1">
      <alignment vertical="center" shrinkToFit="1"/>
    </xf>
    <xf numFmtId="37" fontId="12" fillId="2" borderId="26" xfId="4" applyNumberFormat="1" applyFont="1" applyFill="1" applyBorder="1" applyAlignment="1" applyProtection="1">
      <alignment vertical="center" shrinkToFit="1"/>
    </xf>
    <xf numFmtId="37" fontId="12" fillId="2" borderId="21" xfId="4" applyNumberFormat="1" applyFont="1" applyFill="1" applyBorder="1" applyAlignment="1" applyProtection="1">
      <alignment vertical="center" shrinkToFit="1"/>
    </xf>
    <xf numFmtId="37" fontId="8" fillId="2" borderId="2" xfId="0" applyNumberFormat="1" applyFont="1" applyFill="1" applyBorder="1" applyAlignment="1" applyProtection="1">
      <alignment horizontal="center" vertical="center" shrinkToFit="1"/>
    </xf>
    <xf numFmtId="37" fontId="8" fillId="2" borderId="11" xfId="0" applyNumberFormat="1" applyFont="1" applyFill="1" applyBorder="1" applyAlignment="1" applyProtection="1">
      <alignment horizontal="center" vertical="center" shrinkToFit="1"/>
    </xf>
    <xf numFmtId="37" fontId="3" fillId="2" borderId="0" xfId="4" applyNumberFormat="1" applyFont="1" applyFill="1" applyAlignment="1" applyProtection="1">
      <alignment vertical="center" shrinkToFit="1"/>
    </xf>
    <xf numFmtId="0" fontId="3" fillId="2" borderId="0" xfId="4" applyFont="1" applyFill="1" applyAlignment="1" applyProtection="1">
      <alignment vertical="center" shrinkToFit="1"/>
    </xf>
    <xf numFmtId="37" fontId="8" fillId="0" borderId="45" xfId="0" applyNumberFormat="1" applyFont="1" applyFill="1" applyBorder="1" applyAlignment="1" applyProtection="1">
      <alignment horizontal="distributed" vertical="center"/>
    </xf>
    <xf numFmtId="37" fontId="8" fillId="0" borderId="11" xfId="0" applyNumberFormat="1" applyFont="1" applyFill="1" applyBorder="1" applyAlignment="1" applyProtection="1">
      <alignment horizontal="distributed" vertical="center" shrinkToFit="1"/>
    </xf>
    <xf numFmtId="37" fontId="9" fillId="0" borderId="37" xfId="0" applyNumberFormat="1" applyFont="1" applyFill="1" applyBorder="1" applyAlignment="1" applyProtection="1">
      <alignment vertical="center"/>
      <protection locked="0"/>
    </xf>
    <xf numFmtId="37" fontId="9" fillId="0" borderId="31" xfId="0" applyNumberFormat="1" applyFont="1" applyFill="1" applyBorder="1" applyAlignment="1" applyProtection="1">
      <alignment vertical="center"/>
    </xf>
    <xf numFmtId="37" fontId="9" fillId="0" borderId="37" xfId="0" applyNumberFormat="1" applyFont="1" applyFill="1" applyBorder="1" applyAlignment="1" applyProtection="1">
      <alignment vertical="center"/>
    </xf>
    <xf numFmtId="179" fontId="9" fillId="0" borderId="37" xfId="0" applyNumberFormat="1" applyFont="1" applyFill="1" applyBorder="1" applyAlignment="1" applyProtection="1">
      <alignment vertical="center"/>
      <protection locked="0"/>
    </xf>
    <xf numFmtId="37" fontId="9" fillId="0" borderId="41" xfId="0" applyNumberFormat="1" applyFont="1" applyFill="1" applyBorder="1" applyAlignment="1" applyProtection="1">
      <alignment vertical="center"/>
      <protection locked="0"/>
    </xf>
    <xf numFmtId="37" fontId="9" fillId="0" borderId="31" xfId="0" applyNumberFormat="1" applyFont="1" applyFill="1" applyBorder="1" applyAlignment="1" applyProtection="1">
      <alignment vertical="center"/>
      <protection locked="0"/>
    </xf>
    <xf numFmtId="37" fontId="9" fillId="0" borderId="32" xfId="0" applyNumberFormat="1" applyFont="1" applyFill="1" applyBorder="1" applyAlignment="1" applyProtection="1">
      <alignment vertical="center"/>
    </xf>
    <xf numFmtId="179" fontId="9" fillId="0" borderId="31" xfId="0" applyNumberFormat="1" applyFont="1" applyFill="1" applyBorder="1" applyAlignment="1" applyProtection="1">
      <alignment vertical="center"/>
      <protection locked="0"/>
    </xf>
    <xf numFmtId="37" fontId="22" fillId="0" borderId="3" xfId="7" applyNumberFormat="1" applyFont="1" applyFill="1" applyBorder="1" applyAlignment="1" applyProtection="1">
      <alignment vertical="center"/>
    </xf>
    <xf numFmtId="37" fontId="9" fillId="0" borderId="56" xfId="7" applyNumberFormat="1" applyFont="1" applyFill="1" applyBorder="1" applyAlignment="1" applyProtection="1">
      <alignment horizontal="right" vertical="center"/>
      <protection locked="0"/>
    </xf>
    <xf numFmtId="37" fontId="9" fillId="0" borderId="31" xfId="7" applyNumberFormat="1" applyFont="1" applyFill="1" applyBorder="1" applyAlignment="1" applyProtection="1">
      <alignment horizontal="right" vertical="center"/>
      <protection locked="0"/>
    </xf>
    <xf numFmtId="37" fontId="9" fillId="0" borderId="51" xfId="7" applyNumberFormat="1" applyFont="1" applyFill="1" applyBorder="1" applyAlignment="1" applyProtection="1">
      <alignment vertical="center"/>
    </xf>
    <xf numFmtId="180" fontId="9" fillId="0" borderId="20" xfId="7" applyNumberFormat="1" applyFont="1" applyFill="1" applyBorder="1" applyAlignment="1" applyProtection="1">
      <alignment vertical="center" shrinkToFit="1"/>
    </xf>
    <xf numFmtId="37" fontId="9" fillId="0" borderId="1" xfId="7" applyNumberFormat="1" applyFont="1" applyFill="1" applyBorder="1" applyAlignment="1" applyProtection="1">
      <alignment horizontal="right" vertical="center"/>
    </xf>
    <xf numFmtId="37" fontId="9" fillId="0" borderId="48" xfId="7" applyNumberFormat="1" applyFont="1" applyFill="1" applyBorder="1" applyAlignment="1" applyProtection="1">
      <alignment vertical="center"/>
    </xf>
    <xf numFmtId="37" fontId="8" fillId="0" borderId="9" xfId="0" applyNumberFormat="1" applyFont="1" applyFill="1" applyBorder="1" applyAlignment="1" applyProtection="1">
      <alignment horizontal="distributed" vertical="center" shrinkToFit="1"/>
    </xf>
    <xf numFmtId="37" fontId="8" fillId="0" borderId="44" xfId="0" applyNumberFormat="1" applyFont="1" applyFill="1" applyBorder="1" applyAlignment="1" applyProtection="1">
      <alignment horizontal="distributed" vertical="center" shrinkToFit="1"/>
    </xf>
    <xf numFmtId="178" fontId="9" fillId="0" borderId="22" xfId="6" applyNumberFormat="1" applyFont="1" applyFill="1" applyBorder="1" applyAlignment="1" applyProtection="1">
      <alignment vertical="center" shrinkToFit="1"/>
    </xf>
    <xf numFmtId="178" fontId="9" fillId="0" borderId="15" xfId="6" applyNumberFormat="1" applyFont="1" applyFill="1" applyBorder="1" applyAlignment="1" applyProtection="1">
      <alignment vertical="center" shrinkToFit="1"/>
    </xf>
    <xf numFmtId="178" fontId="9" fillId="0" borderId="48" xfId="6" applyNumberFormat="1" applyFont="1" applyFill="1" applyBorder="1" applyAlignment="1" applyProtection="1">
      <alignment vertical="center" shrinkToFit="1"/>
    </xf>
    <xf numFmtId="37" fontId="12" fillId="0" borderId="37" xfId="4" applyNumberFormat="1" applyFont="1" applyFill="1" applyBorder="1" applyAlignment="1" applyProtection="1">
      <alignment vertical="center"/>
      <protection locked="0"/>
    </xf>
    <xf numFmtId="37" fontId="12" fillId="0" borderId="31" xfId="4" applyNumberFormat="1" applyFont="1" applyFill="1" applyBorder="1" applyAlignment="1" applyProtection="1">
      <alignment vertical="center"/>
      <protection locked="0"/>
    </xf>
    <xf numFmtId="37" fontId="12" fillId="0" borderId="1" xfId="4" applyNumberFormat="1" applyFont="1" applyFill="1" applyBorder="1" applyAlignment="1" applyProtection="1">
      <alignment vertical="center"/>
    </xf>
    <xf numFmtId="178" fontId="25" fillId="0" borderId="31" xfId="6" applyNumberFormat="1" applyFont="1" applyFill="1" applyBorder="1" applyAlignment="1" applyProtection="1">
      <alignment vertical="center"/>
      <protection locked="0"/>
    </xf>
    <xf numFmtId="37" fontId="8" fillId="2" borderId="14" xfId="0" applyNumberFormat="1" applyFont="1" applyFill="1" applyBorder="1" applyAlignment="1" applyProtection="1">
      <alignment horizontal="center" vertical="center"/>
    </xf>
    <xf numFmtId="37" fontId="8" fillId="2" borderId="17" xfId="0" applyNumberFormat="1" applyFont="1" applyFill="1" applyBorder="1" applyAlignment="1" applyProtection="1">
      <alignment horizontal="center" vertical="center"/>
    </xf>
    <xf numFmtId="37" fontId="8" fillId="2" borderId="4" xfId="0" applyNumberFormat="1" applyFont="1" applyFill="1" applyBorder="1" applyAlignment="1" applyProtection="1">
      <alignment horizontal="center" vertical="center"/>
    </xf>
    <xf numFmtId="37" fontId="8" fillId="2" borderId="10" xfId="0" applyNumberFormat="1" applyFont="1" applyFill="1" applyBorder="1" applyAlignment="1" applyProtection="1">
      <alignment horizontal="center" vertical="center"/>
    </xf>
    <xf numFmtId="37" fontId="8" fillId="2" borderId="57" xfId="0" applyNumberFormat="1" applyFont="1" applyFill="1" applyBorder="1" applyAlignment="1" applyProtection="1">
      <alignment horizontal="center" vertical="center"/>
    </xf>
    <xf numFmtId="37" fontId="8" fillId="2" borderId="45" xfId="0" applyNumberFormat="1" applyFont="1" applyFill="1" applyBorder="1" applyAlignment="1" applyProtection="1">
      <alignment horizontal="center" vertical="center"/>
    </xf>
    <xf numFmtId="176" fontId="6" fillId="2" borderId="16" xfId="0" applyNumberFormat="1" applyFont="1" applyFill="1" applyBorder="1" applyAlignment="1" applyProtection="1">
      <alignment horizontal="center" vertical="center" wrapText="1"/>
    </xf>
    <xf numFmtId="176" fontId="6" fillId="2" borderId="33" xfId="0" applyNumberFormat="1" applyFont="1" applyFill="1" applyBorder="1" applyAlignment="1" applyProtection="1">
      <alignment horizontal="center" vertical="center"/>
    </xf>
    <xf numFmtId="176" fontId="6" fillId="2" borderId="19" xfId="0" applyNumberFormat="1" applyFont="1" applyFill="1" applyBorder="1" applyAlignment="1" applyProtection="1">
      <alignment horizontal="center" vertical="center"/>
    </xf>
    <xf numFmtId="37" fontId="6" fillId="2" borderId="16" xfId="0" applyNumberFormat="1" applyFont="1" applyFill="1" applyBorder="1" applyAlignment="1" applyProtection="1">
      <alignment horizontal="center" vertical="center" wrapText="1"/>
    </xf>
    <xf numFmtId="37" fontId="6" fillId="2" borderId="33" xfId="0" applyNumberFormat="1" applyFont="1" applyFill="1" applyBorder="1" applyAlignment="1" applyProtection="1">
      <alignment horizontal="center" vertical="center"/>
    </xf>
    <xf numFmtId="37" fontId="6" fillId="2" borderId="19" xfId="0" applyNumberFormat="1" applyFont="1" applyFill="1" applyBorder="1" applyAlignment="1" applyProtection="1">
      <alignment horizontal="center" vertical="center"/>
    </xf>
    <xf numFmtId="37" fontId="6" fillId="2" borderId="16" xfId="0" applyNumberFormat="1" applyFont="1" applyFill="1" applyBorder="1" applyAlignment="1" applyProtection="1">
      <alignment horizontal="center" vertical="center"/>
    </xf>
    <xf numFmtId="37" fontId="8" fillId="2" borderId="37" xfId="0" applyNumberFormat="1" applyFont="1" applyFill="1" applyBorder="1" applyAlignment="1" applyProtection="1">
      <alignment horizontal="center" vertical="center"/>
    </xf>
    <xf numFmtId="37" fontId="8" fillId="2" borderId="39" xfId="0" applyNumberFormat="1" applyFont="1" applyFill="1" applyBorder="1" applyAlignment="1" applyProtection="1">
      <alignment horizontal="center" vertical="center"/>
    </xf>
    <xf numFmtId="37" fontId="8" fillId="2" borderId="59" xfId="0" applyNumberFormat="1" applyFont="1" applyFill="1" applyBorder="1" applyAlignment="1" applyProtection="1">
      <alignment horizontal="center" vertical="center" wrapText="1"/>
    </xf>
    <xf numFmtId="37" fontId="8" fillId="2" borderId="60" xfId="0" applyNumberFormat="1" applyFont="1" applyFill="1" applyBorder="1" applyAlignment="1" applyProtection="1">
      <alignment horizontal="center" vertical="center"/>
    </xf>
    <xf numFmtId="37" fontId="8" fillId="2" borderId="18" xfId="0" applyNumberFormat="1" applyFont="1" applyFill="1" applyBorder="1" applyAlignment="1" applyProtection="1">
      <alignment horizontal="center" vertical="center"/>
    </xf>
    <xf numFmtId="37" fontId="6" fillId="2" borderId="33" xfId="0" applyNumberFormat="1" applyFont="1" applyFill="1" applyBorder="1" applyAlignment="1" applyProtection="1">
      <alignment horizontal="center" vertical="center" wrapText="1"/>
    </xf>
    <xf numFmtId="37" fontId="6" fillId="2" borderId="19" xfId="0" applyNumberFormat="1" applyFont="1" applyFill="1" applyBorder="1" applyAlignment="1" applyProtection="1">
      <alignment horizontal="center" vertical="center" wrapText="1"/>
    </xf>
    <xf numFmtId="49" fontId="20" fillId="2" borderId="11" xfId="0" applyNumberFormat="1" applyFont="1" applyFill="1" applyBorder="1" applyAlignment="1">
      <alignment horizontal="center" vertical="center" textRotation="180"/>
    </xf>
    <xf numFmtId="37" fontId="8" fillId="2" borderId="61" xfId="0" applyNumberFormat="1" applyFont="1" applyFill="1" applyBorder="1" applyAlignment="1" applyProtection="1">
      <alignment horizontal="center" vertical="center"/>
    </xf>
    <xf numFmtId="37" fontId="8" fillId="2" borderId="28" xfId="0" applyNumberFormat="1" applyFont="1" applyFill="1" applyBorder="1" applyAlignment="1" applyProtection="1">
      <alignment horizontal="center" vertical="center"/>
    </xf>
    <xf numFmtId="37" fontId="4" fillId="2" borderId="5" xfId="4" applyNumberFormat="1" applyFont="1" applyFill="1" applyBorder="1" applyAlignment="1" applyProtection="1">
      <alignment horizontal="center" vertical="center"/>
    </xf>
    <xf numFmtId="37" fontId="11" fillId="2" borderId="14" xfId="4" applyNumberFormat="1" applyFont="1" applyFill="1" applyBorder="1" applyAlignment="1" applyProtection="1">
      <alignment horizontal="center" vertical="center"/>
    </xf>
    <xf numFmtId="37" fontId="11" fillId="2" borderId="17" xfId="4" applyNumberFormat="1" applyFont="1" applyFill="1" applyBorder="1" applyAlignment="1" applyProtection="1">
      <alignment horizontal="center" vertical="center"/>
    </xf>
    <xf numFmtId="37" fontId="11" fillId="2" borderId="4" xfId="4" applyNumberFormat="1" applyFont="1" applyFill="1" applyBorder="1" applyAlignment="1" applyProtection="1">
      <alignment horizontal="center" vertical="center"/>
    </xf>
    <xf numFmtId="37" fontId="11" fillId="2" borderId="59" xfId="4" applyNumberFormat="1" applyFont="1" applyFill="1" applyBorder="1" applyAlignment="1" applyProtection="1">
      <alignment horizontal="center" vertical="center" wrapText="1"/>
    </xf>
    <xf numFmtId="37" fontId="11" fillId="2" borderId="60" xfId="4" applyNumberFormat="1" applyFont="1" applyFill="1" applyBorder="1" applyAlignment="1" applyProtection="1">
      <alignment horizontal="center" vertical="center"/>
    </xf>
    <xf numFmtId="37" fontId="11" fillId="2" borderId="18" xfId="4" applyNumberFormat="1" applyFont="1" applyFill="1" applyBorder="1" applyAlignment="1" applyProtection="1">
      <alignment horizontal="center" vertical="center"/>
    </xf>
    <xf numFmtId="37" fontId="11" fillId="2" borderId="10" xfId="4" applyNumberFormat="1" applyFont="1" applyFill="1" applyBorder="1" applyAlignment="1" applyProtection="1">
      <alignment horizontal="center" vertical="center"/>
    </xf>
    <xf numFmtId="37" fontId="11" fillId="2" borderId="57" xfId="4" applyNumberFormat="1" applyFont="1" applyFill="1" applyBorder="1" applyAlignment="1" applyProtection="1">
      <alignment horizontal="center" vertical="center"/>
    </xf>
    <xf numFmtId="37" fontId="11" fillId="2" borderId="45" xfId="4" applyNumberFormat="1" applyFont="1" applyFill="1" applyBorder="1" applyAlignment="1" applyProtection="1">
      <alignment horizontal="center" vertical="center"/>
    </xf>
    <xf numFmtId="37" fontId="11" fillId="2" borderId="36" xfId="4" applyNumberFormat="1" applyFont="1" applyFill="1" applyBorder="1" applyAlignment="1" applyProtection="1">
      <alignment horizontal="center" vertical="center"/>
    </xf>
    <xf numFmtId="37" fontId="11" fillId="2" borderId="37" xfId="4" applyNumberFormat="1" applyFont="1" applyFill="1" applyBorder="1" applyAlignment="1" applyProtection="1">
      <alignment horizontal="center" vertical="center"/>
    </xf>
    <xf numFmtId="37" fontId="11" fillId="2" borderId="35" xfId="4" applyNumberFormat="1" applyFont="1" applyFill="1" applyBorder="1" applyAlignment="1" applyProtection="1">
      <alignment horizontal="center" vertical="center"/>
    </xf>
    <xf numFmtId="37" fontId="11" fillId="2" borderId="30" xfId="4" applyNumberFormat="1" applyFont="1" applyFill="1" applyBorder="1" applyAlignment="1" applyProtection="1">
      <alignment horizontal="center" vertical="center"/>
    </xf>
    <xf numFmtId="37" fontId="11" fillId="2" borderId="31" xfId="4" applyNumberFormat="1" applyFont="1" applyFill="1" applyBorder="1" applyAlignment="1" applyProtection="1">
      <alignment horizontal="center" vertical="center"/>
    </xf>
    <xf numFmtId="37" fontId="11" fillId="2" borderId="62" xfId="4" applyNumberFormat="1" applyFont="1" applyFill="1" applyBorder="1" applyAlignment="1" applyProtection="1">
      <alignment horizontal="center" vertical="center"/>
    </xf>
    <xf numFmtId="37" fontId="11" fillId="2" borderId="63" xfId="4" applyNumberFormat="1" applyFont="1" applyFill="1" applyBorder="1" applyAlignment="1" applyProtection="1">
      <alignment horizontal="center" vertical="center"/>
    </xf>
    <xf numFmtId="37" fontId="11" fillId="2" borderId="13" xfId="4" applyNumberFormat="1" applyFont="1" applyFill="1" applyBorder="1" applyAlignment="1" applyProtection="1">
      <alignment horizontal="center" vertical="center"/>
    </xf>
    <xf numFmtId="37" fontId="11" fillId="2" borderId="43" xfId="4" applyNumberFormat="1" applyFont="1" applyFill="1" applyBorder="1" applyAlignment="1" applyProtection="1">
      <alignment horizontal="center" vertical="center"/>
    </xf>
    <xf numFmtId="37" fontId="11" fillId="2" borderId="64" xfId="4" applyNumberFormat="1" applyFont="1" applyFill="1" applyBorder="1" applyAlignment="1" applyProtection="1">
      <alignment horizontal="center" vertical="center"/>
    </xf>
    <xf numFmtId="37" fontId="11" fillId="2" borderId="55" xfId="4" applyNumberFormat="1" applyFont="1" applyFill="1" applyBorder="1" applyAlignment="1" applyProtection="1">
      <alignment horizontal="center" vertical="center"/>
    </xf>
    <xf numFmtId="37" fontId="11" fillId="2" borderId="39" xfId="4" applyNumberFormat="1" applyFont="1" applyFill="1" applyBorder="1" applyAlignment="1" applyProtection="1">
      <alignment horizontal="center" vertical="center"/>
    </xf>
    <xf numFmtId="37" fontId="11" fillId="2" borderId="22" xfId="4" applyNumberFormat="1" applyFont="1" applyFill="1" applyBorder="1" applyAlignment="1" applyProtection="1">
      <alignment horizontal="center" vertical="center"/>
    </xf>
    <xf numFmtId="37" fontId="8" fillId="2" borderId="61" xfId="0" applyNumberFormat="1" applyFont="1" applyFill="1" applyBorder="1" applyAlignment="1" applyProtection="1">
      <alignment horizontal="center" vertical="center" shrinkToFit="1"/>
    </xf>
    <xf numFmtId="37" fontId="8" fillId="2" borderId="28" xfId="0" applyNumberFormat="1" applyFont="1" applyFill="1" applyBorder="1" applyAlignment="1" applyProtection="1">
      <alignment horizontal="center" vertical="center" shrinkToFit="1"/>
    </xf>
    <xf numFmtId="37" fontId="11" fillId="2" borderId="29" xfId="4" applyNumberFormat="1" applyFont="1" applyFill="1" applyBorder="1" applyAlignment="1" applyProtection="1">
      <alignment horizontal="center" vertical="center"/>
    </xf>
    <xf numFmtId="37" fontId="8" fillId="2" borderId="30" xfId="4" applyNumberFormat="1" applyFont="1" applyFill="1" applyBorder="1" applyAlignment="1" applyProtection="1">
      <alignment horizontal="center" vertical="center" shrinkToFit="1"/>
    </xf>
    <xf numFmtId="37" fontId="8" fillId="2" borderId="31" xfId="4" applyNumberFormat="1" applyFont="1" applyFill="1" applyBorder="1" applyAlignment="1" applyProtection="1">
      <alignment horizontal="center" vertical="center" shrinkToFit="1"/>
    </xf>
    <xf numFmtId="37" fontId="11" fillId="2" borderId="6" xfId="4" applyNumberFormat="1" applyFont="1" applyFill="1" applyBorder="1" applyAlignment="1" applyProtection="1">
      <alignment horizontal="center" vertical="center"/>
    </xf>
    <xf numFmtId="37" fontId="11" fillId="2" borderId="65" xfId="4" applyNumberFormat="1" applyFont="1" applyFill="1" applyBorder="1" applyAlignment="1" applyProtection="1">
      <alignment horizontal="center" vertical="center"/>
    </xf>
    <xf numFmtId="37" fontId="11" fillId="2" borderId="66" xfId="4" applyNumberFormat="1" applyFont="1" applyFill="1" applyBorder="1" applyAlignment="1" applyProtection="1">
      <alignment horizontal="center" vertical="center"/>
    </xf>
    <xf numFmtId="37" fontId="11" fillId="2" borderId="67" xfId="4" applyNumberFormat="1" applyFont="1" applyFill="1" applyBorder="1" applyAlignment="1" applyProtection="1">
      <alignment horizontal="center" vertical="center"/>
    </xf>
    <xf numFmtId="49" fontId="20" fillId="2" borderId="11" xfId="4" applyNumberFormat="1" applyFont="1" applyFill="1" applyBorder="1" applyAlignment="1">
      <alignment horizontal="center" vertical="center" textRotation="180"/>
    </xf>
    <xf numFmtId="49" fontId="20" fillId="2" borderId="11" xfId="0" applyNumberFormat="1" applyFont="1" applyFill="1" applyBorder="1" applyAlignment="1" applyProtection="1">
      <alignment horizontal="center" vertical="center" textRotation="180"/>
    </xf>
    <xf numFmtId="37" fontId="8" fillId="2" borderId="22" xfId="4" applyNumberFormat="1" applyFont="1" applyFill="1" applyBorder="1" applyAlignment="1" applyProtection="1">
      <alignment horizontal="center" vertical="center" shrinkToFit="1"/>
    </xf>
    <xf numFmtId="37" fontId="4" fillId="0" borderId="5" xfId="5" applyNumberFormat="1" applyFont="1" applyFill="1" applyBorder="1" applyAlignment="1" applyProtection="1">
      <alignment horizontal="center" vertical="center"/>
    </xf>
    <xf numFmtId="37" fontId="11" fillId="0" borderId="10" xfId="4" applyNumberFormat="1" applyFont="1" applyFill="1" applyBorder="1" applyAlignment="1" applyProtection="1">
      <alignment horizontal="center" vertical="center"/>
    </xf>
    <xf numFmtId="37" fontId="11" fillId="0" borderId="57" xfId="4" applyNumberFormat="1" applyFont="1" applyFill="1" applyBorder="1" applyAlignment="1" applyProtection="1">
      <alignment horizontal="center" vertical="center"/>
    </xf>
    <xf numFmtId="37" fontId="11" fillId="0" borderId="45" xfId="4" applyNumberFormat="1" applyFont="1" applyFill="1" applyBorder="1" applyAlignment="1" applyProtection="1">
      <alignment horizontal="center" vertical="center"/>
    </xf>
    <xf numFmtId="37" fontId="11" fillId="0" borderId="14" xfId="4" applyNumberFormat="1" applyFont="1" applyFill="1" applyBorder="1" applyAlignment="1" applyProtection="1">
      <alignment horizontal="center" vertical="center"/>
    </xf>
    <xf numFmtId="37" fontId="11" fillId="0" borderId="17" xfId="4" applyNumberFormat="1" applyFont="1" applyFill="1" applyBorder="1" applyAlignment="1" applyProtection="1">
      <alignment horizontal="center" vertical="center"/>
    </xf>
    <xf numFmtId="37" fontId="11" fillId="0" borderId="4" xfId="4" applyNumberFormat="1" applyFont="1" applyFill="1" applyBorder="1" applyAlignment="1" applyProtection="1">
      <alignment horizontal="center" vertical="center"/>
    </xf>
    <xf numFmtId="37" fontId="11" fillId="0" borderId="63" xfId="5" applyNumberFormat="1" applyFont="1" applyFill="1" applyBorder="1" applyAlignment="1" applyProtection="1">
      <alignment horizontal="center" vertical="center"/>
    </xf>
    <xf numFmtId="37" fontId="11" fillId="0" borderId="39" xfId="5" applyNumberFormat="1" applyFont="1" applyFill="1" applyBorder="1" applyAlignment="1" applyProtection="1">
      <alignment horizontal="center" vertical="center"/>
    </xf>
    <xf numFmtId="37" fontId="11" fillId="0" borderId="53" xfId="5" applyNumberFormat="1" applyFont="1" applyFill="1" applyBorder="1" applyAlignment="1" applyProtection="1">
      <alignment horizontal="center" vertical="center"/>
    </xf>
    <xf numFmtId="37" fontId="8" fillId="0" borderId="16" xfId="5" applyNumberFormat="1" applyFont="1" applyFill="1" applyBorder="1" applyAlignment="1" applyProtection="1">
      <alignment horizontal="center" vertical="center"/>
    </xf>
    <xf numFmtId="37" fontId="8" fillId="0" borderId="19" xfId="5" applyNumberFormat="1" applyFont="1" applyFill="1" applyBorder="1" applyAlignment="1" applyProtection="1">
      <alignment horizontal="center" vertical="center"/>
    </xf>
    <xf numFmtId="37" fontId="8" fillId="0" borderId="16" xfId="5" applyNumberFormat="1" applyFont="1" applyFill="1" applyBorder="1" applyAlignment="1" applyProtection="1">
      <alignment horizontal="center" vertical="center" wrapText="1"/>
    </xf>
    <xf numFmtId="37" fontId="8" fillId="0" borderId="47" xfId="5" applyNumberFormat="1" applyFont="1" applyFill="1" applyBorder="1" applyAlignment="1" applyProtection="1">
      <alignment horizontal="center" vertical="center"/>
    </xf>
    <xf numFmtId="37" fontId="8" fillId="0" borderId="45" xfId="5" applyNumberFormat="1" applyFont="1" applyFill="1" applyBorder="1" applyAlignment="1" applyProtection="1">
      <alignment horizontal="center" vertical="center"/>
    </xf>
    <xf numFmtId="37" fontId="8" fillId="0" borderId="15" xfId="5" applyNumberFormat="1" applyFont="1" applyFill="1" applyBorder="1" applyAlignment="1" applyProtection="1">
      <alignment horizontal="center" vertical="center" wrapText="1"/>
    </xf>
    <xf numFmtId="37" fontId="8" fillId="0" borderId="18" xfId="5" applyNumberFormat="1" applyFont="1" applyFill="1" applyBorder="1" applyAlignment="1" applyProtection="1">
      <alignment horizontal="center" vertical="center"/>
    </xf>
    <xf numFmtId="37" fontId="11" fillId="0" borderId="58" xfId="5" applyNumberFormat="1" applyFont="1" applyFill="1" applyBorder="1" applyAlignment="1" applyProtection="1">
      <alignment horizontal="center" vertical="center"/>
    </xf>
    <xf numFmtId="37" fontId="11" fillId="0" borderId="33" xfId="5" applyNumberFormat="1" applyFont="1" applyFill="1" applyBorder="1" applyAlignment="1" applyProtection="1">
      <alignment horizontal="center" vertical="center"/>
    </xf>
    <xf numFmtId="37" fontId="4" fillId="0" borderId="5" xfId="4" applyNumberFormat="1" applyFont="1" applyFill="1" applyBorder="1" applyAlignment="1" applyProtection="1">
      <alignment horizontal="center" vertical="center"/>
    </xf>
    <xf numFmtId="37" fontId="11" fillId="0" borderId="59" xfId="5" applyNumberFormat="1" applyFont="1" applyFill="1" applyBorder="1" applyAlignment="1" applyProtection="1">
      <alignment horizontal="center" vertical="center" wrapText="1"/>
    </xf>
    <xf numFmtId="37" fontId="11" fillId="0" borderId="60" xfId="5" applyNumberFormat="1" applyFont="1" applyFill="1" applyBorder="1" applyAlignment="1" applyProtection="1">
      <alignment horizontal="center" vertical="center"/>
    </xf>
    <xf numFmtId="37" fontId="11" fillId="0" borderId="18" xfId="5" applyNumberFormat="1" applyFont="1" applyFill="1" applyBorder="1" applyAlignment="1" applyProtection="1">
      <alignment horizontal="center" vertical="center"/>
    </xf>
    <xf numFmtId="37" fontId="8" fillId="0" borderId="59" xfId="0" applyNumberFormat="1" applyFont="1" applyFill="1" applyBorder="1" applyAlignment="1" applyProtection="1">
      <alignment horizontal="center" vertical="center" wrapText="1"/>
    </xf>
    <xf numFmtId="37" fontId="8" fillId="0" borderId="60" xfId="0" applyNumberFormat="1" applyFont="1" applyFill="1" applyBorder="1" applyAlignment="1" applyProtection="1">
      <alignment horizontal="center" vertical="center"/>
    </xf>
    <xf numFmtId="37" fontId="8" fillId="0" borderId="18" xfId="0" applyNumberFormat="1" applyFont="1" applyFill="1" applyBorder="1" applyAlignment="1" applyProtection="1">
      <alignment horizontal="center" vertical="center"/>
    </xf>
    <xf numFmtId="37" fontId="8" fillId="0" borderId="15" xfId="5" applyNumberFormat="1" applyFont="1" applyFill="1" applyBorder="1" applyAlignment="1" applyProtection="1">
      <alignment horizontal="center" vertical="center"/>
    </xf>
    <xf numFmtId="37" fontId="11" fillId="0" borderId="10" xfId="5" applyNumberFormat="1" applyFont="1" applyFill="1" applyBorder="1" applyAlignment="1" applyProtection="1">
      <alignment horizontal="center" vertical="center"/>
    </xf>
    <xf numFmtId="37" fontId="11" fillId="0" borderId="57" xfId="5" applyNumberFormat="1" applyFont="1" applyFill="1" applyBorder="1" applyAlignment="1" applyProtection="1">
      <alignment horizontal="center" vertical="center"/>
    </xf>
    <xf numFmtId="37" fontId="11" fillId="0" borderId="45" xfId="5" applyNumberFormat="1" applyFont="1" applyFill="1" applyBorder="1" applyAlignment="1" applyProtection="1">
      <alignment horizontal="center" vertical="center"/>
    </xf>
    <xf numFmtId="37" fontId="11" fillId="0" borderId="59" xfId="4" applyNumberFormat="1" applyFont="1" applyFill="1" applyBorder="1" applyAlignment="1" applyProtection="1">
      <alignment horizontal="center" vertical="center" wrapText="1"/>
    </xf>
    <xf numFmtId="37" fontId="11" fillId="0" borderId="60" xfId="4" applyNumberFormat="1" applyFont="1" applyFill="1" applyBorder="1" applyAlignment="1" applyProtection="1">
      <alignment horizontal="center" vertical="center"/>
    </xf>
    <xf numFmtId="37" fontId="11" fillId="0" borderId="18" xfId="4" applyNumberFormat="1" applyFont="1" applyFill="1" applyBorder="1" applyAlignment="1" applyProtection="1">
      <alignment horizontal="center" vertical="center"/>
    </xf>
    <xf numFmtId="37" fontId="8" fillId="0" borderId="30" xfId="5" applyNumberFormat="1" applyFont="1" applyFill="1" applyBorder="1" applyAlignment="1" applyProtection="1">
      <alignment horizontal="center" vertical="center"/>
    </xf>
    <xf numFmtId="37" fontId="8" fillId="0" borderId="31" xfId="5" applyNumberFormat="1" applyFont="1" applyFill="1" applyBorder="1" applyAlignment="1" applyProtection="1">
      <alignment horizontal="center" vertical="center"/>
    </xf>
    <xf numFmtId="37" fontId="11" fillId="0" borderId="62" xfId="5" applyNumberFormat="1" applyFont="1" applyFill="1" applyBorder="1" applyAlignment="1" applyProtection="1">
      <alignment horizontal="center" vertical="center"/>
    </xf>
    <xf numFmtId="37" fontId="11" fillId="0" borderId="6" xfId="5" applyNumberFormat="1" applyFont="1" applyFill="1" applyBorder="1" applyAlignment="1" applyProtection="1">
      <alignment horizontal="center" vertical="center"/>
    </xf>
    <xf numFmtId="37" fontId="8" fillId="0" borderId="22" xfId="5" applyNumberFormat="1" applyFont="1" applyFill="1" applyBorder="1" applyAlignment="1" applyProtection="1">
      <alignment horizontal="center" vertical="center"/>
    </xf>
    <xf numFmtId="49" fontId="20" fillId="0" borderId="11" xfId="5" applyNumberFormat="1" applyFont="1" applyFill="1" applyBorder="1" applyAlignment="1">
      <alignment horizontal="center" vertical="center" textRotation="180"/>
    </xf>
    <xf numFmtId="49" fontId="20" fillId="0" borderId="11" xfId="0" applyNumberFormat="1" applyFont="1" applyFill="1" applyBorder="1" applyAlignment="1" applyProtection="1">
      <alignment horizontal="center" vertical="center" textRotation="180"/>
    </xf>
    <xf numFmtId="37" fontId="8" fillId="0" borderId="61" xfId="0" applyNumberFormat="1" applyFont="1" applyFill="1" applyBorder="1" applyAlignment="1" applyProtection="1">
      <alignment horizontal="center" vertical="center" shrinkToFit="1"/>
    </xf>
    <xf numFmtId="37" fontId="8" fillId="0" borderId="28" xfId="0" applyNumberFormat="1" applyFont="1" applyFill="1" applyBorder="1" applyAlignment="1" applyProtection="1">
      <alignment horizontal="center" vertical="center" shrinkToFit="1"/>
    </xf>
    <xf numFmtId="37" fontId="6" fillId="0" borderId="16" xfId="5" applyNumberFormat="1" applyFont="1" applyFill="1" applyBorder="1" applyAlignment="1" applyProtection="1">
      <alignment horizontal="center" vertical="center" shrinkToFit="1"/>
    </xf>
    <xf numFmtId="37" fontId="6" fillId="0" borderId="19" xfId="5" applyNumberFormat="1" applyFont="1" applyFill="1" applyBorder="1" applyAlignment="1" applyProtection="1">
      <alignment horizontal="center" vertical="center" shrinkToFit="1"/>
    </xf>
    <xf numFmtId="37" fontId="4" fillId="0" borderId="5" xfId="7" applyNumberFormat="1" applyFont="1" applyFill="1" applyBorder="1" applyAlignment="1" applyProtection="1">
      <alignment horizontal="center" vertical="center"/>
    </xf>
    <xf numFmtId="37" fontId="6" fillId="0" borderId="16" xfId="7" applyNumberFormat="1" applyFont="1" applyFill="1" applyBorder="1" applyAlignment="1" applyProtection="1">
      <alignment horizontal="center" vertical="center"/>
    </xf>
    <xf numFmtId="37" fontId="6" fillId="0" borderId="19" xfId="7" applyNumberFormat="1" applyFont="1" applyFill="1" applyBorder="1" applyAlignment="1" applyProtection="1">
      <alignment horizontal="center" vertical="center"/>
    </xf>
    <xf numFmtId="37" fontId="11" fillId="0" borderId="37" xfId="7" applyNumberFormat="1" applyFont="1" applyFill="1" applyBorder="1" applyAlignment="1" applyProtection="1">
      <alignment horizontal="center" vertical="center"/>
    </xf>
    <xf numFmtId="37" fontId="11" fillId="0" borderId="39" xfId="7" applyNumberFormat="1" applyFont="1" applyFill="1" applyBorder="1" applyAlignment="1" applyProtection="1">
      <alignment horizontal="center" vertical="center"/>
    </xf>
    <xf numFmtId="37" fontId="11" fillId="0" borderId="35" xfId="7" applyNumberFormat="1" applyFont="1" applyFill="1" applyBorder="1" applyAlignment="1" applyProtection="1">
      <alignment horizontal="center" vertical="center"/>
    </xf>
    <xf numFmtId="37" fontId="6" fillId="0" borderId="16" xfId="7" applyNumberFormat="1" applyFont="1" applyFill="1" applyBorder="1" applyAlignment="1" applyProtection="1">
      <alignment horizontal="center" vertical="center" wrapText="1"/>
    </xf>
    <xf numFmtId="37" fontId="8" fillId="0" borderId="30" xfId="7" applyNumberFormat="1" applyFont="1" applyFill="1" applyBorder="1" applyAlignment="1" applyProtection="1">
      <alignment horizontal="center" vertical="center"/>
    </xf>
    <xf numFmtId="37" fontId="8" fillId="0" borderId="31" xfId="7" applyNumberFormat="1" applyFont="1" applyFill="1" applyBorder="1" applyAlignment="1" applyProtection="1">
      <alignment horizontal="center" vertical="center"/>
    </xf>
    <xf numFmtId="37" fontId="8" fillId="0" borderId="22" xfId="7" applyNumberFormat="1" applyFont="1" applyFill="1" applyBorder="1" applyAlignment="1" applyProtection="1">
      <alignment horizontal="center" vertical="center"/>
    </xf>
    <xf numFmtId="37" fontId="6" fillId="0" borderId="47" xfId="7" applyNumberFormat="1" applyFont="1" applyFill="1" applyBorder="1" applyAlignment="1" applyProtection="1">
      <alignment horizontal="center" vertical="center"/>
    </xf>
    <xf numFmtId="37" fontId="6" fillId="0" borderId="45" xfId="7" applyNumberFormat="1" applyFont="1" applyFill="1" applyBorder="1" applyAlignment="1" applyProtection="1">
      <alignment horizontal="center" vertical="center"/>
    </xf>
    <xf numFmtId="37" fontId="6" fillId="0" borderId="19" xfId="7" applyNumberFormat="1" applyFont="1" applyFill="1" applyBorder="1" applyAlignment="1" applyProtection="1">
      <alignment horizontal="center" vertical="center" wrapText="1"/>
    </xf>
    <xf numFmtId="37" fontId="16" fillId="0" borderId="16" xfId="7" applyNumberFormat="1" applyFont="1" applyFill="1" applyBorder="1" applyAlignment="1" applyProtection="1">
      <alignment horizontal="center" vertical="center" wrapText="1"/>
    </xf>
    <xf numFmtId="37" fontId="16" fillId="0" borderId="19" xfId="7" applyNumberFormat="1" applyFont="1" applyFill="1" applyBorder="1" applyAlignment="1" applyProtection="1">
      <alignment horizontal="center" vertical="center"/>
    </xf>
    <xf numFmtId="37" fontId="6" fillId="0" borderId="48" xfId="7" applyNumberFormat="1" applyFont="1" applyFill="1" applyBorder="1" applyAlignment="1" applyProtection="1">
      <alignment horizontal="center" vertical="center"/>
    </xf>
    <xf numFmtId="37" fontId="6" fillId="0" borderId="46" xfId="7" applyNumberFormat="1" applyFont="1" applyFill="1" applyBorder="1" applyAlignment="1" applyProtection="1">
      <alignment horizontal="center" vertical="center"/>
    </xf>
    <xf numFmtId="37" fontId="6" fillId="0" borderId="15" xfId="7" applyNumberFormat="1" applyFont="1" applyFill="1" applyBorder="1" applyAlignment="1" applyProtection="1">
      <alignment horizontal="center" vertical="center"/>
    </xf>
    <xf numFmtId="37" fontId="6" fillId="0" borderId="18" xfId="7" applyNumberFormat="1" applyFont="1" applyFill="1" applyBorder="1" applyAlignment="1" applyProtection="1">
      <alignment horizontal="center" vertical="center"/>
    </xf>
    <xf numFmtId="37" fontId="8" fillId="0" borderId="61" xfId="0" applyNumberFormat="1" applyFont="1" applyFill="1" applyBorder="1" applyAlignment="1" applyProtection="1">
      <alignment horizontal="center" vertical="center"/>
    </xf>
    <xf numFmtId="37" fontId="8" fillId="0" borderId="28" xfId="0" applyNumberFormat="1" applyFont="1" applyFill="1" applyBorder="1" applyAlignment="1" applyProtection="1">
      <alignment horizontal="center" vertical="center"/>
    </xf>
    <xf numFmtId="37" fontId="11" fillId="0" borderId="69" xfId="7" applyNumberFormat="1" applyFont="1" applyFill="1" applyBorder="1" applyAlignment="1" applyProtection="1">
      <alignment horizontal="center" vertical="center"/>
    </xf>
    <xf numFmtId="37" fontId="11" fillId="0" borderId="50" xfId="7" applyNumberFormat="1" applyFont="1" applyFill="1" applyBorder="1" applyAlignment="1" applyProtection="1">
      <alignment horizontal="center" vertical="center"/>
    </xf>
    <xf numFmtId="37" fontId="11" fillId="0" borderId="53" xfId="7" applyNumberFormat="1" applyFont="1" applyFill="1" applyBorder="1" applyAlignment="1" applyProtection="1">
      <alignment horizontal="center" vertical="center"/>
    </xf>
    <xf numFmtId="180" fontId="8" fillId="0" borderId="58" xfId="3" applyNumberFormat="1" applyFont="1" applyFill="1" applyBorder="1" applyAlignment="1" applyProtection="1">
      <alignment horizontal="center" vertical="center" wrapText="1"/>
    </xf>
    <xf numFmtId="180" fontId="8" fillId="0" borderId="33" xfId="3" applyNumberFormat="1" applyFont="1" applyFill="1" applyBorder="1" applyAlignment="1" applyProtection="1">
      <alignment horizontal="center" vertical="center" wrapText="1"/>
    </xf>
    <xf numFmtId="180" fontId="8" fillId="0" borderId="19" xfId="3" applyNumberFormat="1" applyFont="1" applyFill="1" applyBorder="1" applyAlignment="1" applyProtection="1">
      <alignment horizontal="center" vertical="center" wrapText="1"/>
    </xf>
    <xf numFmtId="37" fontId="8" fillId="0" borderId="47" xfId="7" applyNumberFormat="1" applyFont="1" applyFill="1" applyBorder="1" applyAlignment="1" applyProtection="1">
      <alignment horizontal="center" vertical="center"/>
    </xf>
    <xf numFmtId="37" fontId="8" fillId="0" borderId="45" xfId="7" applyNumberFormat="1" applyFont="1" applyFill="1" applyBorder="1" applyAlignment="1" applyProtection="1">
      <alignment horizontal="center" vertical="center"/>
    </xf>
    <xf numFmtId="37" fontId="11" fillId="0" borderId="38" xfId="7" applyNumberFormat="1" applyFont="1" applyFill="1" applyBorder="1" applyAlignment="1" applyProtection="1">
      <alignment horizontal="center" vertical="center"/>
    </xf>
    <xf numFmtId="37" fontId="6" fillId="0" borderId="15" xfId="7" applyNumberFormat="1" applyFont="1" applyFill="1" applyBorder="1" applyAlignment="1" applyProtection="1">
      <alignment horizontal="center" vertical="center" wrapText="1"/>
    </xf>
    <xf numFmtId="37" fontId="8" fillId="0" borderId="36" xfId="7" applyNumberFormat="1" applyFont="1" applyFill="1" applyBorder="1" applyAlignment="1" applyProtection="1">
      <alignment horizontal="center" vertical="center"/>
    </xf>
    <xf numFmtId="37" fontId="8" fillId="0" borderId="37" xfId="7" applyNumberFormat="1" applyFont="1" applyFill="1" applyBorder="1" applyAlignment="1" applyProtection="1">
      <alignment horizontal="center" vertical="center"/>
    </xf>
    <xf numFmtId="37" fontId="8" fillId="0" borderId="10" xfId="4" applyNumberFormat="1" applyFont="1" applyFill="1" applyBorder="1" applyAlignment="1" applyProtection="1">
      <alignment horizontal="center" vertical="center" justifyLastLine="1"/>
    </xf>
    <xf numFmtId="37" fontId="8" fillId="0" borderId="57" xfId="4" applyNumberFormat="1" applyFont="1" applyFill="1" applyBorder="1" applyAlignment="1" applyProtection="1">
      <alignment horizontal="center" vertical="center" justifyLastLine="1"/>
    </xf>
    <xf numFmtId="37" fontId="8" fillId="0" borderId="45" xfId="4" applyNumberFormat="1" applyFont="1" applyFill="1" applyBorder="1" applyAlignment="1" applyProtection="1">
      <alignment horizontal="center" vertical="center" justifyLastLine="1"/>
    </xf>
    <xf numFmtId="37" fontId="8" fillId="0" borderId="35" xfId="7" applyNumberFormat="1" applyFont="1" applyFill="1" applyBorder="1" applyAlignment="1" applyProtection="1">
      <alignment horizontal="center" vertical="center"/>
    </xf>
    <xf numFmtId="37" fontId="11" fillId="0" borderId="14" xfId="4" applyNumberFormat="1" applyFont="1" applyFill="1" applyBorder="1" applyAlignment="1" applyProtection="1">
      <alignment horizontal="center" vertical="center" justifyLastLine="1"/>
    </xf>
    <xf numFmtId="37" fontId="11" fillId="0" borderId="17" xfId="4" applyNumberFormat="1" applyFont="1" applyFill="1" applyBorder="1" applyAlignment="1" applyProtection="1">
      <alignment horizontal="center" vertical="center" justifyLastLine="1"/>
    </xf>
    <xf numFmtId="37" fontId="11" fillId="0" borderId="4" xfId="4" applyNumberFormat="1" applyFont="1" applyFill="1" applyBorder="1" applyAlignment="1" applyProtection="1">
      <alignment horizontal="center" vertical="center" justifyLastLine="1"/>
    </xf>
    <xf numFmtId="180" fontId="6" fillId="0" borderId="58" xfId="3" applyNumberFormat="1" applyFont="1" applyFill="1" applyBorder="1" applyAlignment="1" applyProtection="1">
      <alignment horizontal="center" vertical="center" wrapText="1"/>
    </xf>
    <xf numFmtId="180" fontId="6" fillId="0" borderId="33" xfId="3" applyNumberFormat="1" applyFont="1" applyFill="1" applyBorder="1" applyAlignment="1" applyProtection="1">
      <alignment horizontal="center" vertical="center" wrapText="1"/>
    </xf>
    <xf numFmtId="180" fontId="6" fillId="0" borderId="19" xfId="3" applyNumberFormat="1" applyFont="1" applyFill="1" applyBorder="1" applyAlignment="1" applyProtection="1">
      <alignment horizontal="center" vertical="center" wrapText="1"/>
    </xf>
    <xf numFmtId="37" fontId="11" fillId="0" borderId="10" xfId="4" applyNumberFormat="1" applyFont="1" applyFill="1" applyBorder="1" applyAlignment="1" applyProtection="1">
      <alignment horizontal="center" vertical="center" justifyLastLine="1"/>
    </xf>
    <xf numFmtId="37" fontId="11" fillId="0" borderId="57" xfId="4" applyNumberFormat="1" applyFont="1" applyFill="1" applyBorder="1" applyAlignment="1" applyProtection="1">
      <alignment horizontal="center" vertical="center" justifyLastLine="1"/>
    </xf>
    <xf numFmtId="37" fontId="11" fillId="0" borderId="45" xfId="4" applyNumberFormat="1" applyFont="1" applyFill="1" applyBorder="1" applyAlignment="1" applyProtection="1">
      <alignment horizontal="center" vertical="center" justifyLastLine="1"/>
    </xf>
    <xf numFmtId="37" fontId="8" fillId="0" borderId="10" xfId="7" applyNumberFormat="1" applyFont="1" applyFill="1" applyBorder="1" applyAlignment="1" applyProtection="1">
      <alignment horizontal="center" vertical="center"/>
    </xf>
    <xf numFmtId="37" fontId="8" fillId="0" borderId="57" xfId="7" applyNumberFormat="1" applyFont="1" applyFill="1" applyBorder="1" applyAlignment="1" applyProtection="1">
      <alignment horizontal="center" vertical="center"/>
    </xf>
    <xf numFmtId="37" fontId="11" fillId="0" borderId="10" xfId="5" applyNumberFormat="1" applyFont="1" applyFill="1" applyBorder="1" applyAlignment="1" applyProtection="1">
      <alignment horizontal="center" vertical="center" justifyLastLine="1"/>
    </xf>
    <xf numFmtId="37" fontId="11" fillId="0" borderId="57" xfId="5" applyNumberFormat="1" applyFont="1" applyFill="1" applyBorder="1" applyAlignment="1" applyProtection="1">
      <alignment horizontal="center" vertical="center" justifyLastLine="1"/>
    </xf>
    <xf numFmtId="37" fontId="11" fillId="0" borderId="45" xfId="5" applyNumberFormat="1" applyFont="1" applyFill="1" applyBorder="1" applyAlignment="1" applyProtection="1">
      <alignment horizontal="center" vertical="center" justifyLastLine="1"/>
    </xf>
    <xf numFmtId="37" fontId="6" fillId="0" borderId="22" xfId="7" applyNumberFormat="1" applyFont="1" applyFill="1" applyBorder="1" applyAlignment="1" applyProtection="1">
      <alignment horizontal="center" vertical="center"/>
    </xf>
    <xf numFmtId="37" fontId="6" fillId="0" borderId="52" xfId="7" applyNumberFormat="1" applyFont="1" applyFill="1" applyBorder="1" applyAlignment="1" applyProtection="1">
      <alignment horizontal="center" vertical="center"/>
    </xf>
    <xf numFmtId="37" fontId="6" fillId="0" borderId="32" xfId="7" applyNumberFormat="1" applyFont="1" applyFill="1" applyBorder="1" applyAlignment="1" applyProtection="1">
      <alignment horizontal="center" vertical="center"/>
    </xf>
    <xf numFmtId="37" fontId="7" fillId="0" borderId="16" xfId="7" applyNumberFormat="1" applyFont="1" applyFill="1" applyBorder="1" applyAlignment="1" applyProtection="1">
      <alignment horizontal="center" vertical="center" wrapText="1"/>
    </xf>
    <xf numFmtId="37" fontId="7" fillId="0" borderId="19" xfId="7" applyNumberFormat="1" applyFont="1" applyFill="1" applyBorder="1" applyAlignment="1" applyProtection="1">
      <alignment horizontal="center" vertical="center"/>
    </xf>
    <xf numFmtId="37" fontId="8" fillId="0" borderId="14" xfId="7" applyNumberFormat="1" applyFont="1" applyFill="1" applyBorder="1" applyAlignment="1" applyProtection="1">
      <alignment horizontal="center" vertical="center" wrapText="1"/>
    </xf>
    <xf numFmtId="37" fontId="8" fillId="0" borderId="17" xfId="7" applyNumberFormat="1" applyFont="1" applyFill="1" applyBorder="1" applyAlignment="1" applyProtection="1">
      <alignment horizontal="center" vertical="center"/>
    </xf>
    <xf numFmtId="37" fontId="8" fillId="0" borderId="4" xfId="7" applyNumberFormat="1" applyFont="1" applyFill="1" applyBorder="1" applyAlignment="1" applyProtection="1">
      <alignment horizontal="center" vertical="center"/>
    </xf>
    <xf numFmtId="37" fontId="6" fillId="0" borderId="68" xfId="7" applyNumberFormat="1" applyFont="1" applyFill="1" applyBorder="1" applyAlignment="1" applyProtection="1">
      <alignment horizontal="center" vertical="center"/>
    </xf>
    <xf numFmtId="37" fontId="6" fillId="0" borderId="33" xfId="7" applyNumberFormat="1" applyFont="1" applyFill="1" applyBorder="1" applyAlignment="1" applyProtection="1">
      <alignment horizontal="center" vertical="center" wrapText="1"/>
    </xf>
    <xf numFmtId="37" fontId="8" fillId="0" borderId="69" xfId="7" applyNumberFormat="1" applyFont="1" applyFill="1" applyBorder="1" applyAlignment="1" applyProtection="1">
      <alignment horizontal="center" vertical="center"/>
    </xf>
    <xf numFmtId="37" fontId="8" fillId="0" borderId="50" xfId="7" applyNumberFormat="1" applyFont="1" applyFill="1" applyBorder="1" applyAlignment="1" applyProtection="1">
      <alignment horizontal="center" vertical="center"/>
    </xf>
    <xf numFmtId="37" fontId="6" fillId="0" borderId="16" xfId="8" applyNumberFormat="1" applyFont="1" applyFill="1" applyBorder="1" applyAlignment="1" applyProtection="1">
      <alignment horizontal="center" vertical="center" wrapText="1"/>
    </xf>
    <xf numFmtId="37" fontId="6" fillId="0" borderId="19" xfId="8" applyNumberFormat="1" applyFont="1" applyFill="1" applyBorder="1" applyAlignment="1" applyProtection="1">
      <alignment horizontal="center" vertical="center" wrapText="1"/>
    </xf>
    <xf numFmtId="176" fontId="2" fillId="0" borderId="68" xfId="0" applyFont="1" applyFill="1" applyBorder="1" applyAlignment="1">
      <alignment horizontal="center" vertical="center"/>
    </xf>
    <xf numFmtId="49" fontId="21" fillId="0" borderId="11" xfId="7" applyNumberFormat="1" applyFont="1" applyFill="1" applyBorder="1" applyAlignment="1">
      <alignment horizontal="center" vertical="center" textRotation="180"/>
    </xf>
    <xf numFmtId="49" fontId="21" fillId="0" borderId="11" xfId="0" applyNumberFormat="1" applyFont="1" applyFill="1" applyBorder="1" applyAlignment="1" applyProtection="1">
      <alignment horizontal="center" vertical="center" textRotation="180"/>
    </xf>
    <xf numFmtId="49" fontId="21" fillId="0" borderId="11" xfId="0" applyNumberFormat="1" applyFont="1" applyFill="1" applyBorder="1" applyAlignment="1" applyProtection="1">
      <alignment horizontal="right" vertical="center" textRotation="180"/>
    </xf>
    <xf numFmtId="37" fontId="8" fillId="0" borderId="14" xfId="4" applyNumberFormat="1" applyFont="1" applyFill="1" applyBorder="1" applyAlignment="1" applyProtection="1">
      <alignment horizontal="center" vertical="center" justifyLastLine="1"/>
    </xf>
    <xf numFmtId="37" fontId="8" fillId="0" borderId="17" xfId="4" applyNumberFormat="1" applyFont="1" applyFill="1" applyBorder="1" applyAlignment="1" applyProtection="1">
      <alignment horizontal="center" vertical="center" justifyLastLine="1"/>
    </xf>
    <xf numFmtId="37" fontId="8" fillId="0" borderId="4" xfId="4" applyNumberFormat="1" applyFont="1" applyFill="1" applyBorder="1" applyAlignment="1" applyProtection="1">
      <alignment horizontal="center" vertical="center" justifyLastLine="1"/>
    </xf>
    <xf numFmtId="37" fontId="8" fillId="0" borderId="59" xfId="4" applyNumberFormat="1" applyFont="1" applyFill="1" applyBorder="1" applyAlignment="1" applyProtection="1">
      <alignment horizontal="center" vertical="center" wrapText="1"/>
    </xf>
    <xf numFmtId="37" fontId="8" fillId="0" borderId="60" xfId="4" applyNumberFormat="1" applyFont="1" applyFill="1" applyBorder="1" applyAlignment="1" applyProtection="1">
      <alignment horizontal="center" vertical="center"/>
    </xf>
    <xf numFmtId="37" fontId="8" fillId="0" borderId="18" xfId="4" applyNumberFormat="1" applyFont="1" applyFill="1" applyBorder="1" applyAlignment="1" applyProtection="1">
      <alignment horizontal="center" vertical="center"/>
    </xf>
    <xf numFmtId="178" fontId="8" fillId="0" borderId="7" xfId="0" applyNumberFormat="1" applyFont="1" applyFill="1" applyBorder="1" applyAlignment="1" applyProtection="1">
      <alignment horizontal="center" vertical="center" shrinkToFit="1"/>
    </xf>
    <xf numFmtId="178" fontId="8" fillId="0" borderId="12" xfId="0" applyNumberFormat="1" applyFont="1" applyFill="1" applyBorder="1" applyAlignment="1" applyProtection="1">
      <alignment horizontal="center" vertical="center" shrinkToFit="1"/>
    </xf>
    <xf numFmtId="37" fontId="8" fillId="0" borderId="58" xfId="6" applyNumberFormat="1" applyFont="1" applyFill="1" applyBorder="1" applyAlignment="1" applyProtection="1">
      <alignment horizontal="center" vertical="center" wrapText="1"/>
    </xf>
    <xf numFmtId="37" fontId="8" fillId="0" borderId="19" xfId="6" applyNumberFormat="1" applyFont="1" applyFill="1" applyBorder="1" applyAlignment="1" applyProtection="1">
      <alignment horizontal="center" vertical="center"/>
    </xf>
    <xf numFmtId="37" fontId="8" fillId="0" borderId="6" xfId="6" applyNumberFormat="1" applyFont="1" applyFill="1" applyBorder="1" applyAlignment="1" applyProtection="1">
      <alignment horizontal="center" vertical="center"/>
    </xf>
    <xf numFmtId="37" fontId="8" fillId="0" borderId="65" xfId="6" applyNumberFormat="1" applyFont="1" applyFill="1" applyBorder="1" applyAlignment="1" applyProtection="1">
      <alignment horizontal="center" vertical="center"/>
    </xf>
    <xf numFmtId="178" fontId="8" fillId="0" borderId="59" xfId="0" applyNumberFormat="1" applyFont="1" applyFill="1" applyBorder="1" applyAlignment="1" applyProtection="1">
      <alignment horizontal="center" vertical="center" wrapText="1"/>
    </xf>
    <xf numFmtId="178" fontId="8" fillId="0" borderId="60" xfId="0" applyNumberFormat="1" applyFont="1" applyFill="1" applyBorder="1" applyAlignment="1" applyProtection="1">
      <alignment horizontal="center" vertical="center"/>
    </xf>
    <xf numFmtId="178" fontId="8" fillId="0" borderId="18" xfId="0" applyNumberFormat="1" applyFont="1" applyFill="1" applyBorder="1" applyAlignment="1" applyProtection="1">
      <alignment horizontal="center" vertical="center"/>
    </xf>
    <xf numFmtId="37" fontId="11" fillId="0" borderId="10" xfId="6" applyNumberFormat="1" applyFont="1" applyFill="1" applyBorder="1" applyAlignment="1" applyProtection="1">
      <alignment horizontal="center" vertical="center"/>
    </xf>
    <xf numFmtId="37" fontId="11" fillId="0" borderId="45" xfId="6" applyNumberFormat="1" applyFont="1" applyFill="1" applyBorder="1" applyAlignment="1" applyProtection="1">
      <alignment horizontal="center" vertical="center"/>
    </xf>
    <xf numFmtId="37" fontId="4" fillId="0" borderId="5" xfId="6" applyNumberFormat="1" applyFont="1" applyFill="1" applyBorder="1" applyAlignment="1" applyProtection="1">
      <alignment horizontal="center" vertical="center"/>
    </xf>
    <xf numFmtId="37" fontId="11" fillId="0" borderId="14" xfId="6" applyNumberFormat="1" applyFont="1" applyFill="1" applyBorder="1" applyAlignment="1" applyProtection="1">
      <alignment horizontal="center" vertical="center"/>
    </xf>
    <xf numFmtId="37" fontId="11" fillId="0" borderId="4" xfId="6" applyNumberFormat="1" applyFont="1" applyFill="1" applyBorder="1" applyAlignment="1" applyProtection="1">
      <alignment horizontal="center" vertical="center"/>
    </xf>
    <xf numFmtId="37" fontId="8" fillId="0" borderId="60" xfId="0" applyNumberFormat="1" applyFont="1" applyFill="1" applyBorder="1" applyAlignment="1" applyProtection="1">
      <alignment horizontal="center" vertical="center" wrapText="1"/>
    </xf>
    <xf numFmtId="180" fontId="8" fillId="0" borderId="58" xfId="2" applyNumberFormat="1" applyFont="1" applyFill="1" applyBorder="1" applyAlignment="1" applyProtection="1">
      <alignment horizontal="center" vertical="center" wrapText="1"/>
    </xf>
    <xf numFmtId="180" fontId="8" fillId="0" borderId="19" xfId="2" applyNumberFormat="1" applyFont="1" applyFill="1" applyBorder="1" applyAlignment="1" applyProtection="1">
      <alignment horizontal="center" vertical="center" wrapText="1"/>
    </xf>
    <xf numFmtId="180" fontId="8" fillId="0" borderId="10" xfId="2" applyNumberFormat="1" applyFont="1" applyFill="1" applyBorder="1" applyAlignment="1" applyProtection="1">
      <alignment horizontal="center" vertical="center" wrapText="1"/>
    </xf>
    <xf numFmtId="180" fontId="8" fillId="0" borderId="45" xfId="2" applyNumberFormat="1" applyFont="1" applyFill="1" applyBorder="1" applyAlignment="1" applyProtection="1">
      <alignment horizontal="center" vertical="center"/>
    </xf>
    <xf numFmtId="180" fontId="6" fillId="0" borderId="58" xfId="2" applyNumberFormat="1" applyFont="1" applyFill="1" applyBorder="1" applyAlignment="1" applyProtection="1">
      <alignment horizontal="center" vertical="center" wrapText="1"/>
    </xf>
    <xf numFmtId="180" fontId="6" fillId="0" borderId="19" xfId="2" applyNumberFormat="1" applyFont="1" applyFill="1" applyBorder="1" applyAlignment="1" applyProtection="1">
      <alignment horizontal="center" vertical="center"/>
    </xf>
    <xf numFmtId="180" fontId="8" fillId="0" borderId="19" xfId="2" applyNumberFormat="1" applyFont="1" applyFill="1" applyBorder="1" applyAlignment="1" applyProtection="1">
      <alignment horizontal="center" vertical="center"/>
    </xf>
    <xf numFmtId="180" fontId="6" fillId="0" borderId="19" xfId="2" applyNumberFormat="1" applyFont="1" applyFill="1" applyBorder="1" applyAlignment="1" applyProtection="1">
      <alignment horizontal="center" vertical="center" wrapText="1"/>
    </xf>
    <xf numFmtId="180" fontId="16" fillId="0" borderId="58" xfId="2" applyNumberFormat="1" applyFont="1" applyFill="1" applyBorder="1" applyAlignment="1" applyProtection="1">
      <alignment horizontal="center" vertical="center" wrapText="1"/>
    </xf>
    <xf numFmtId="180" fontId="16" fillId="0" borderId="19" xfId="2" applyNumberFormat="1" applyFont="1" applyFill="1" applyBorder="1" applyAlignment="1" applyProtection="1">
      <alignment horizontal="center" vertical="center" wrapText="1"/>
    </xf>
    <xf numFmtId="37" fontId="11" fillId="0" borderId="37" xfId="6" applyNumberFormat="1" applyFont="1" applyFill="1" applyBorder="1" applyAlignment="1" applyProtection="1">
      <alignment horizontal="center" vertical="center"/>
    </xf>
    <xf numFmtId="37" fontId="11" fillId="0" borderId="35" xfId="6" applyNumberFormat="1" applyFont="1" applyFill="1" applyBorder="1" applyAlignment="1" applyProtection="1">
      <alignment horizontal="center" vertical="center"/>
    </xf>
    <xf numFmtId="37" fontId="11" fillId="0" borderId="36" xfId="6" applyNumberFormat="1" applyFont="1" applyFill="1" applyBorder="1" applyAlignment="1" applyProtection="1">
      <alignment horizontal="center" vertical="center"/>
    </xf>
    <xf numFmtId="49" fontId="20" fillId="0" borderId="11" xfId="6" applyNumberFormat="1" applyFont="1" applyFill="1" applyBorder="1" applyAlignment="1">
      <alignment horizontal="center" vertical="center" textRotation="180"/>
    </xf>
    <xf numFmtId="37" fontId="8" fillId="0" borderId="7" xfId="0" applyNumberFormat="1" applyFont="1" applyFill="1" applyBorder="1" applyAlignment="1" applyProtection="1">
      <alignment horizontal="center" vertical="center" shrinkToFit="1"/>
    </xf>
    <xf numFmtId="37" fontId="8" fillId="0" borderId="12" xfId="0" applyNumberFormat="1" applyFont="1" applyFill="1" applyBorder="1" applyAlignment="1" applyProtection="1">
      <alignment horizontal="center" vertical="center" shrinkToFit="1"/>
    </xf>
    <xf numFmtId="37" fontId="8" fillId="0" borderId="35" xfId="0" applyNumberFormat="1" applyFont="1" applyFill="1" applyBorder="1" applyAlignment="1" applyProtection="1">
      <alignment horizontal="distributed" vertical="center"/>
    </xf>
    <xf numFmtId="37" fontId="9" fillId="0" borderId="36" xfId="0" applyNumberFormat="1" applyFont="1" applyFill="1" applyBorder="1" applyAlignment="1" applyProtection="1">
      <alignment horizontal="center" vertical="center"/>
    </xf>
    <xf numFmtId="176" fontId="9" fillId="0" borderId="37" xfId="0" applyNumberFormat="1" applyFont="1" applyFill="1" applyBorder="1" applyAlignment="1" applyProtection="1">
      <alignment vertical="center"/>
      <protection locked="0"/>
    </xf>
    <xf numFmtId="177" fontId="9" fillId="0" borderId="37" xfId="0" applyNumberFormat="1" applyFont="1" applyFill="1" applyBorder="1" applyAlignment="1" applyProtection="1">
      <alignment vertical="center"/>
      <protection locked="0"/>
    </xf>
    <xf numFmtId="177" fontId="9" fillId="0" borderId="31" xfId="0" applyNumberFormat="1" applyFont="1" applyFill="1" applyBorder="1" applyAlignment="1" applyProtection="1">
      <alignment vertical="center"/>
      <protection locked="0"/>
    </xf>
    <xf numFmtId="176" fontId="9" fillId="0" borderId="39" xfId="0" applyNumberFormat="1" applyFont="1" applyFill="1" applyBorder="1" applyAlignment="1" applyProtection="1">
      <alignment vertical="center"/>
    </xf>
    <xf numFmtId="37" fontId="9" fillId="0" borderId="35" xfId="4" applyNumberFormat="1" applyFont="1" applyFill="1" applyBorder="1" applyAlignment="1" applyProtection="1">
      <alignment horizontal="center" vertical="center"/>
    </xf>
    <xf numFmtId="37" fontId="8" fillId="0" borderId="40" xfId="0" applyNumberFormat="1" applyFont="1" applyFill="1" applyBorder="1" applyAlignment="1" applyProtection="1">
      <alignment horizontal="distributed" vertical="center"/>
    </xf>
    <xf numFmtId="37" fontId="8" fillId="0" borderId="29" xfId="0" applyNumberFormat="1" applyFont="1" applyFill="1" applyBorder="1" applyAlignment="1" applyProtection="1">
      <alignment horizontal="distributed" vertical="center"/>
    </xf>
    <xf numFmtId="37" fontId="9" fillId="0" borderId="30" xfId="0" applyNumberFormat="1" applyFont="1" applyFill="1" applyBorder="1" applyAlignment="1" applyProtection="1">
      <alignment horizontal="center" vertical="center"/>
    </xf>
    <xf numFmtId="176" fontId="9" fillId="0" borderId="31" xfId="0" applyNumberFormat="1" applyFont="1" applyFill="1" applyBorder="1" applyAlignment="1" applyProtection="1">
      <alignment vertical="center"/>
      <protection locked="0"/>
    </xf>
    <xf numFmtId="181" fontId="9" fillId="0" borderId="31" xfId="0" applyNumberFormat="1" applyFont="1" applyFill="1" applyBorder="1" applyAlignment="1" applyProtection="1">
      <alignment vertical="center"/>
      <protection locked="0"/>
    </xf>
    <xf numFmtId="176" fontId="9" fillId="0" borderId="22" xfId="0" applyNumberFormat="1" applyFont="1" applyFill="1" applyBorder="1" applyAlignment="1" applyProtection="1">
      <alignment vertical="center"/>
    </xf>
    <xf numFmtId="37" fontId="9" fillId="0" borderId="29" xfId="4" applyNumberFormat="1" applyFont="1" applyFill="1" applyBorder="1" applyAlignment="1" applyProtection="1">
      <alignment horizontal="center" vertical="center"/>
    </xf>
    <xf numFmtId="37" fontId="8" fillId="0" borderId="29" xfId="0" applyNumberFormat="1" applyFont="1" applyFill="1" applyBorder="1" applyAlignment="1" applyProtection="1">
      <alignment horizontal="distributed" vertical="center" wrapText="1"/>
    </xf>
    <xf numFmtId="37" fontId="24" fillId="0" borderId="31" xfId="0" applyNumberFormat="1" applyFont="1" applyFill="1" applyBorder="1" applyAlignment="1" applyProtection="1">
      <alignment vertical="center"/>
      <protection locked="0"/>
    </xf>
    <xf numFmtId="37" fontId="8" fillId="0" borderId="23" xfId="0" applyNumberFormat="1" applyFont="1" applyFill="1" applyBorder="1" applyAlignment="1" applyProtection="1">
      <alignment horizontal="distributed" vertical="center" wrapText="1"/>
    </xf>
    <xf numFmtId="37" fontId="9" fillId="0" borderId="8" xfId="0" applyNumberFormat="1" applyFont="1" applyFill="1" applyBorder="1" applyAlignment="1" applyProtection="1">
      <alignment vertical="center"/>
    </xf>
    <xf numFmtId="37" fontId="9" fillId="0" borderId="1" xfId="0" applyNumberFormat="1" applyFont="1" applyFill="1" applyBorder="1" applyAlignment="1" applyProtection="1">
      <alignment vertical="center"/>
    </xf>
    <xf numFmtId="176" fontId="9" fillId="0" borderId="1" xfId="0" applyNumberFormat="1" applyFont="1" applyFill="1" applyBorder="1" applyAlignment="1" applyProtection="1">
      <alignment vertical="center"/>
    </xf>
    <xf numFmtId="176" fontId="9" fillId="0" borderId="1" xfId="0" applyNumberFormat="1" applyFont="1" applyFill="1" applyBorder="1" applyAlignment="1" applyProtection="1">
      <alignment vertical="center" shrinkToFit="1"/>
    </xf>
    <xf numFmtId="176" fontId="9" fillId="0" borderId="20" xfId="0" applyNumberFormat="1" applyFont="1" applyFill="1" applyBorder="1" applyAlignment="1" applyProtection="1">
      <alignment vertical="center"/>
    </xf>
    <xf numFmtId="37" fontId="9" fillId="0" borderId="9" xfId="4" applyNumberFormat="1" applyFont="1" applyFill="1" applyBorder="1" applyAlignment="1" applyProtection="1">
      <alignment vertical="center"/>
    </xf>
    <xf numFmtId="37" fontId="24" fillId="0" borderId="37" xfId="0" applyNumberFormat="1" applyFont="1" applyFill="1" applyBorder="1" applyAlignment="1" applyProtection="1">
      <alignment vertical="center"/>
      <protection locked="0"/>
    </xf>
    <xf numFmtId="37" fontId="24" fillId="0" borderId="38" xfId="0" applyNumberFormat="1" applyFont="1" applyFill="1" applyBorder="1" applyAlignment="1" applyProtection="1">
      <alignment vertical="center"/>
    </xf>
    <xf numFmtId="176" fontId="24" fillId="0" borderId="37" xfId="0" applyNumberFormat="1" applyFont="1" applyFill="1" applyBorder="1" applyAlignment="1" applyProtection="1">
      <alignment vertical="center"/>
      <protection locked="0"/>
    </xf>
    <xf numFmtId="176" fontId="9" fillId="0" borderId="31" xfId="0" applyNumberFormat="1" applyFont="1" applyFill="1" applyBorder="1" applyAlignment="1" applyProtection="1">
      <alignment vertical="center" shrinkToFit="1"/>
      <protection locked="0"/>
    </xf>
    <xf numFmtId="37" fontId="9" fillId="0" borderId="68" xfId="0" applyNumberFormat="1" applyFont="1" applyFill="1" applyBorder="1" applyAlignment="1" applyProtection="1">
      <alignment vertical="center"/>
    </xf>
    <xf numFmtId="176" fontId="9" fillId="0" borderId="16" xfId="0" applyNumberFormat="1" applyFont="1" applyFill="1" applyBorder="1" applyAlignment="1" applyProtection="1">
      <alignment vertical="center"/>
    </xf>
    <xf numFmtId="176" fontId="9" fillId="0" borderId="22" xfId="0" applyNumberFormat="1" applyFont="1" applyFill="1" applyBorder="1" applyAlignment="1" applyProtection="1">
      <alignment vertical="center" shrinkToFit="1"/>
    </xf>
    <xf numFmtId="37" fontId="9" fillId="0" borderId="31" xfId="0" applyNumberFormat="1" applyFont="1" applyFill="1" applyBorder="1" applyAlignment="1" applyProtection="1">
      <alignment vertical="center" shrinkToFit="1"/>
      <protection locked="0"/>
    </xf>
    <xf numFmtId="179" fontId="9" fillId="0" borderId="31" xfId="0" applyNumberFormat="1" applyFont="1" applyFill="1" applyBorder="1" applyAlignment="1" applyProtection="1">
      <alignment vertical="center" shrinkToFit="1"/>
      <protection locked="0"/>
    </xf>
    <xf numFmtId="182" fontId="9" fillId="0" borderId="31" xfId="0" applyNumberFormat="1" applyFont="1" applyFill="1" applyBorder="1" applyAlignment="1" applyProtection="1">
      <alignment vertical="center" shrinkToFit="1"/>
      <protection locked="0"/>
    </xf>
    <xf numFmtId="37" fontId="12" fillId="0" borderId="37" xfId="4" applyNumberFormat="1" applyFont="1" applyFill="1" applyBorder="1" applyAlignment="1" applyProtection="1">
      <alignment vertical="center"/>
    </xf>
    <xf numFmtId="37" fontId="12" fillId="0" borderId="39" xfId="4" applyNumberFormat="1" applyFont="1" applyFill="1" applyBorder="1" applyAlignment="1" applyProtection="1">
      <alignment vertical="center"/>
    </xf>
    <xf numFmtId="37" fontId="12" fillId="0" borderId="36" xfId="4" applyNumberFormat="1" applyFont="1" applyFill="1" applyBorder="1" applyAlignment="1" applyProtection="1">
      <alignment vertical="center"/>
      <protection locked="0"/>
    </xf>
    <xf numFmtId="37" fontId="12" fillId="0" borderId="35" xfId="4" applyNumberFormat="1" applyFont="1" applyFill="1" applyBorder="1" applyAlignment="1" applyProtection="1">
      <alignment vertical="center"/>
      <protection locked="0"/>
    </xf>
    <xf numFmtId="37" fontId="12" fillId="0" borderId="31" xfId="4" applyNumberFormat="1" applyFont="1" applyFill="1" applyBorder="1" applyAlignment="1" applyProtection="1">
      <alignment vertical="center"/>
    </xf>
    <xf numFmtId="37" fontId="12" fillId="0" borderId="22" xfId="4" applyNumberFormat="1" applyFont="1" applyFill="1" applyBorder="1" applyAlignment="1" applyProtection="1">
      <alignment vertical="center"/>
    </xf>
    <xf numFmtId="37" fontId="12" fillId="0" borderId="30" xfId="4" applyNumberFormat="1" applyFont="1" applyFill="1" applyBorder="1" applyAlignment="1" applyProtection="1">
      <alignment vertical="center"/>
      <protection locked="0"/>
    </xf>
    <xf numFmtId="37" fontId="12" fillId="0" borderId="29" xfId="4" applyNumberFormat="1" applyFont="1" applyFill="1" applyBorder="1" applyAlignment="1" applyProtection="1">
      <alignment vertical="center"/>
      <protection locked="0"/>
    </xf>
    <xf numFmtId="37" fontId="12" fillId="0" borderId="20" xfId="4" applyNumberFormat="1" applyFont="1" applyFill="1" applyBorder="1" applyAlignment="1" applyProtection="1">
      <alignment vertical="center"/>
    </xf>
    <xf numFmtId="37" fontId="12" fillId="0" borderId="8" xfId="4" applyNumberFormat="1" applyFont="1" applyFill="1" applyBorder="1" applyAlignment="1" applyProtection="1">
      <alignment vertical="center"/>
    </xf>
    <xf numFmtId="37" fontId="12" fillId="0" borderId="9" xfId="4" applyNumberFormat="1" applyFont="1" applyFill="1" applyBorder="1" applyAlignment="1" applyProtection="1">
      <alignment vertical="center"/>
    </xf>
    <xf numFmtId="37" fontId="12" fillId="0" borderId="41" xfId="4" applyNumberFormat="1" applyFont="1" applyFill="1" applyBorder="1" applyAlignment="1" applyProtection="1">
      <alignment vertical="center"/>
    </xf>
    <xf numFmtId="37" fontId="12" fillId="0" borderId="41" xfId="4" applyNumberFormat="1" applyFont="1" applyFill="1" applyBorder="1" applyAlignment="1" applyProtection="1">
      <alignment vertical="center"/>
      <protection locked="0"/>
    </xf>
    <xf numFmtId="37" fontId="12" fillId="0" borderId="42" xfId="4" applyNumberFormat="1" applyFont="1" applyFill="1" applyBorder="1" applyAlignment="1" applyProtection="1">
      <alignment vertical="center"/>
      <protection locked="0"/>
    </xf>
    <xf numFmtId="37" fontId="12" fillId="0" borderId="35" xfId="4" applyNumberFormat="1" applyFont="1" applyFill="1" applyBorder="1" applyAlignment="1" applyProtection="1">
      <alignment vertical="center"/>
    </xf>
    <xf numFmtId="37" fontId="12" fillId="0" borderId="29" xfId="4" applyNumberFormat="1" applyFont="1" applyFill="1" applyBorder="1" applyAlignment="1" applyProtection="1">
      <alignment vertical="center"/>
    </xf>
    <xf numFmtId="37" fontId="25" fillId="0" borderId="30" xfId="4" applyNumberFormat="1" applyFont="1" applyFill="1" applyBorder="1" applyAlignment="1" applyProtection="1">
      <alignment vertical="center"/>
      <protection locked="0"/>
    </xf>
    <xf numFmtId="37" fontId="25" fillId="0" borderId="31" xfId="4" applyNumberFormat="1" applyFont="1" applyFill="1" applyBorder="1" applyAlignment="1" applyProtection="1">
      <alignment vertical="center"/>
      <protection locked="0"/>
    </xf>
    <xf numFmtId="37" fontId="12" fillId="0" borderId="38" xfId="4" applyNumberFormat="1" applyFont="1" applyFill="1" applyBorder="1" applyAlignment="1" applyProtection="1">
      <alignment vertical="center"/>
      <protection locked="0"/>
    </xf>
    <xf numFmtId="37" fontId="12" fillId="0" borderId="38" xfId="4" applyNumberFormat="1" applyFont="1" applyFill="1" applyBorder="1" applyAlignment="1" applyProtection="1">
      <alignment vertical="center"/>
    </xf>
    <xf numFmtId="37" fontId="12" fillId="0" borderId="31" xfId="4" applyNumberFormat="1" applyFont="1" applyFill="1" applyBorder="1" applyAlignment="1" applyProtection="1">
      <alignment horizontal="center" vertical="center"/>
      <protection locked="0"/>
    </xf>
    <xf numFmtId="37" fontId="8" fillId="0" borderId="49" xfId="0" applyNumberFormat="1" applyFont="1" applyFill="1" applyBorder="1" applyAlignment="1" applyProtection="1">
      <alignment horizontal="distributed" vertical="center"/>
    </xf>
    <xf numFmtId="37" fontId="8" fillId="0" borderId="70" xfId="0" applyNumberFormat="1" applyFont="1" applyFill="1" applyBorder="1" applyAlignment="1" applyProtection="1">
      <alignment horizontal="distributed" vertical="center"/>
    </xf>
    <xf numFmtId="178" fontId="23" fillId="0" borderId="31" xfId="6" applyNumberFormat="1" applyFont="1" applyFill="1" applyBorder="1" applyAlignment="1" applyProtection="1">
      <alignment vertical="center" shrinkToFit="1"/>
      <protection locked="0"/>
    </xf>
    <xf numFmtId="37" fontId="6" fillId="0" borderId="60" xfId="0" applyNumberFormat="1" applyFont="1" applyFill="1" applyBorder="1" applyAlignment="1" applyProtection="1">
      <alignment horizontal="center" vertical="center" wrapText="1"/>
    </xf>
    <xf numFmtId="37" fontId="6" fillId="0" borderId="60" xfId="0" applyNumberFormat="1" applyFont="1" applyFill="1" applyBorder="1" applyAlignment="1" applyProtection="1">
      <alignment horizontal="center" vertical="center"/>
    </xf>
    <xf numFmtId="37" fontId="6" fillId="0" borderId="18" xfId="0" applyNumberFormat="1" applyFont="1" applyFill="1" applyBorder="1" applyAlignment="1" applyProtection="1">
      <alignment horizontal="center" vertical="center"/>
    </xf>
    <xf numFmtId="178" fontId="6" fillId="0" borderId="59" xfId="0" applyNumberFormat="1" applyFont="1" applyFill="1" applyBorder="1" applyAlignment="1" applyProtection="1">
      <alignment horizontal="center" vertical="center" wrapText="1"/>
    </xf>
    <xf numFmtId="178" fontId="6" fillId="0" borderId="60" xfId="0" applyNumberFormat="1" applyFont="1" applyFill="1" applyBorder="1" applyAlignment="1" applyProtection="1">
      <alignment horizontal="center" vertical="center"/>
    </xf>
    <xf numFmtId="178" fontId="6" fillId="0" borderId="18" xfId="0" applyNumberFormat="1" applyFont="1" applyFill="1" applyBorder="1" applyAlignment="1" applyProtection="1">
      <alignment horizontal="center" vertical="center"/>
    </xf>
  </cellXfs>
  <cellStyles count="9">
    <cellStyle name="標準" xfId="0" builtinId="0"/>
    <cellStyle name="標準 2" xfId="1"/>
    <cellStyle name="標準_沿損益" xfId="2"/>
    <cellStyle name="標準_沿貸借" xfId="3"/>
    <cellStyle name="標準_加事１" xfId="4"/>
    <cellStyle name="標準_加事２" xfId="5"/>
    <cellStyle name="標準_加損益" xfId="6"/>
    <cellStyle name="標準_加貸借" xfId="7"/>
    <cellStyle name="標準_業貸借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rgb="FFFF0000"/>
  </sheetPr>
  <dimension ref="A1:AN23"/>
  <sheetViews>
    <sheetView view="pageLayout" zoomScaleNormal="115" workbookViewId="0">
      <selection activeCell="C8" sqref="C8:Z20"/>
    </sheetView>
  </sheetViews>
  <sheetFormatPr defaultColWidth="12" defaultRowHeight="24.95" customHeight="1" x14ac:dyDescent="0.15"/>
  <cols>
    <col min="1" max="1" width="2.625" style="211" customWidth="1"/>
    <col min="2" max="2" width="3.5" style="211" customWidth="1"/>
    <col min="3" max="3" width="10.625" style="211" customWidth="1"/>
    <col min="4" max="4" width="7.875" style="211" customWidth="1"/>
    <col min="5" max="7" width="3.5" style="211" customWidth="1"/>
    <col min="8" max="12" width="3.125" style="211" customWidth="1"/>
    <col min="13" max="23" width="3.375" style="211" customWidth="1"/>
    <col min="24" max="24" width="3.75" style="211" customWidth="1"/>
    <col min="25" max="25" width="8.875" style="211" customWidth="1"/>
    <col min="26" max="26" width="10.625" style="211" customWidth="1"/>
    <col min="27" max="27" width="5.625" style="211" customWidth="1"/>
    <col min="28" max="30" width="6.625" style="211" customWidth="1"/>
    <col min="31" max="32" width="5.625" style="211" customWidth="1"/>
    <col min="33" max="33" width="6.625" style="211" customWidth="1"/>
    <col min="34" max="35" width="5.625" style="211" customWidth="1"/>
    <col min="36" max="36" width="6.625" style="211" customWidth="1"/>
    <col min="37" max="37" width="2.625" style="211" customWidth="1"/>
    <col min="38" max="38" width="4.625" style="211" customWidth="1"/>
    <col min="39" max="40" width="10.625" style="211" customWidth="1"/>
    <col min="41" max="16384" width="12" style="211"/>
  </cols>
  <sheetData>
    <row r="1" spans="1:40" ht="18" customHeight="1" x14ac:dyDescent="0.15">
      <c r="B1" s="212" t="s">
        <v>166</v>
      </c>
      <c r="C1" s="213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4"/>
      <c r="Y1" s="214"/>
      <c r="Z1" s="214"/>
      <c r="AA1" s="214"/>
    </row>
    <row r="2" spans="1:40" ht="15.75" customHeight="1" x14ac:dyDescent="0.15">
      <c r="B2" s="362" t="s">
        <v>53</v>
      </c>
      <c r="C2" s="350" t="s">
        <v>115</v>
      </c>
      <c r="D2" s="362" t="s">
        <v>222</v>
      </c>
      <c r="E2" s="360" t="s">
        <v>96</v>
      </c>
      <c r="F2" s="360"/>
      <c r="G2" s="360"/>
      <c r="H2" s="360" t="s">
        <v>97</v>
      </c>
      <c r="I2" s="360"/>
      <c r="J2" s="360"/>
      <c r="K2" s="360"/>
      <c r="L2" s="360"/>
      <c r="M2" s="360" t="s">
        <v>98</v>
      </c>
      <c r="N2" s="360"/>
      <c r="O2" s="360"/>
      <c r="P2" s="360"/>
      <c r="Q2" s="360"/>
      <c r="R2" s="360"/>
      <c r="S2" s="360"/>
      <c r="T2" s="360"/>
      <c r="U2" s="360"/>
      <c r="V2" s="360"/>
      <c r="W2" s="360"/>
      <c r="X2" s="361"/>
      <c r="Y2" s="350" t="s">
        <v>99</v>
      </c>
      <c r="Z2" s="347" t="s">
        <v>115</v>
      </c>
      <c r="AA2" s="214"/>
    </row>
    <row r="3" spans="1:40" ht="13.5" customHeight="1" x14ac:dyDescent="0.15">
      <c r="B3" s="363"/>
      <c r="C3" s="351"/>
      <c r="D3" s="363"/>
      <c r="E3" s="356" t="s">
        <v>219</v>
      </c>
      <c r="F3" s="356" t="s">
        <v>220</v>
      </c>
      <c r="G3" s="359" t="s">
        <v>114</v>
      </c>
      <c r="H3" s="356" t="s">
        <v>100</v>
      </c>
      <c r="I3" s="356" t="s">
        <v>101</v>
      </c>
      <c r="J3" s="356" t="s">
        <v>223</v>
      </c>
      <c r="K3" s="356" t="s">
        <v>102</v>
      </c>
      <c r="L3" s="356" t="s">
        <v>221</v>
      </c>
      <c r="M3" s="356" t="s">
        <v>103</v>
      </c>
      <c r="N3" s="353" t="s">
        <v>104</v>
      </c>
      <c r="O3" s="353" t="s">
        <v>105</v>
      </c>
      <c r="P3" s="353" t="s">
        <v>106</v>
      </c>
      <c r="Q3" s="353" t="s">
        <v>107</v>
      </c>
      <c r="R3" s="353" t="s">
        <v>108</v>
      </c>
      <c r="S3" s="353" t="s">
        <v>109</v>
      </c>
      <c r="T3" s="353" t="s">
        <v>110</v>
      </c>
      <c r="U3" s="353" t="s">
        <v>111</v>
      </c>
      <c r="V3" s="353" t="s">
        <v>112</v>
      </c>
      <c r="W3" s="353" t="s">
        <v>113</v>
      </c>
      <c r="X3" s="359" t="s">
        <v>2</v>
      </c>
      <c r="Y3" s="351"/>
      <c r="Z3" s="348"/>
      <c r="AA3" s="214"/>
    </row>
    <row r="4" spans="1:40" ht="13.5" customHeight="1" x14ac:dyDescent="0.15">
      <c r="B4" s="363"/>
      <c r="C4" s="351"/>
      <c r="D4" s="363"/>
      <c r="E4" s="357"/>
      <c r="F4" s="357"/>
      <c r="G4" s="357"/>
      <c r="H4" s="357"/>
      <c r="I4" s="357"/>
      <c r="J4" s="365"/>
      <c r="K4" s="357"/>
      <c r="L4" s="357"/>
      <c r="M4" s="357"/>
      <c r="N4" s="354"/>
      <c r="O4" s="354"/>
      <c r="P4" s="354"/>
      <c r="Q4" s="354"/>
      <c r="R4" s="354"/>
      <c r="S4" s="354"/>
      <c r="T4" s="354"/>
      <c r="U4" s="354"/>
      <c r="V4" s="354"/>
      <c r="W4" s="354"/>
      <c r="X4" s="357"/>
      <c r="Y4" s="351"/>
      <c r="Z4" s="348"/>
      <c r="AA4" s="214"/>
    </row>
    <row r="5" spans="1:40" ht="13.5" customHeight="1" x14ac:dyDescent="0.15">
      <c r="B5" s="363"/>
      <c r="C5" s="351"/>
      <c r="D5" s="363"/>
      <c r="E5" s="357"/>
      <c r="F5" s="357"/>
      <c r="G5" s="357"/>
      <c r="H5" s="357"/>
      <c r="I5" s="357"/>
      <c r="J5" s="365"/>
      <c r="K5" s="357"/>
      <c r="L5" s="357"/>
      <c r="M5" s="357"/>
      <c r="N5" s="354"/>
      <c r="O5" s="354"/>
      <c r="P5" s="354"/>
      <c r="Q5" s="354"/>
      <c r="R5" s="354"/>
      <c r="S5" s="354"/>
      <c r="T5" s="354"/>
      <c r="U5" s="354"/>
      <c r="V5" s="354"/>
      <c r="W5" s="354"/>
      <c r="X5" s="357"/>
      <c r="Y5" s="351"/>
      <c r="Z5" s="348"/>
      <c r="AA5" s="214"/>
    </row>
    <row r="6" spans="1:40" ht="13.5" customHeight="1" x14ac:dyDescent="0.15">
      <c r="B6" s="363"/>
      <c r="C6" s="351"/>
      <c r="D6" s="363"/>
      <c r="E6" s="357"/>
      <c r="F6" s="357"/>
      <c r="G6" s="357"/>
      <c r="H6" s="357"/>
      <c r="I6" s="357"/>
      <c r="J6" s="365"/>
      <c r="K6" s="357"/>
      <c r="L6" s="357"/>
      <c r="M6" s="357"/>
      <c r="N6" s="354"/>
      <c r="O6" s="354"/>
      <c r="P6" s="354"/>
      <c r="Q6" s="354"/>
      <c r="R6" s="354"/>
      <c r="S6" s="354"/>
      <c r="T6" s="354"/>
      <c r="U6" s="354"/>
      <c r="V6" s="354"/>
      <c r="W6" s="354"/>
      <c r="X6" s="357"/>
      <c r="Y6" s="351"/>
      <c r="Z6" s="348"/>
      <c r="AA6" s="214"/>
    </row>
    <row r="7" spans="1:40" ht="13.5" customHeight="1" x14ac:dyDescent="0.15">
      <c r="B7" s="364"/>
      <c r="C7" s="352"/>
      <c r="D7" s="364"/>
      <c r="E7" s="358"/>
      <c r="F7" s="358"/>
      <c r="G7" s="358"/>
      <c r="H7" s="358"/>
      <c r="I7" s="358"/>
      <c r="J7" s="366"/>
      <c r="K7" s="358"/>
      <c r="L7" s="358"/>
      <c r="M7" s="358"/>
      <c r="N7" s="355"/>
      <c r="O7" s="355"/>
      <c r="P7" s="355"/>
      <c r="Q7" s="355"/>
      <c r="R7" s="355"/>
      <c r="S7" s="355"/>
      <c r="T7" s="355"/>
      <c r="U7" s="355"/>
      <c r="V7" s="355"/>
      <c r="W7" s="355"/>
      <c r="X7" s="358"/>
      <c r="Y7" s="352"/>
      <c r="Z7" s="349"/>
      <c r="AA7" s="214"/>
    </row>
    <row r="8" spans="1:40" ht="24.75" customHeight="1" x14ac:dyDescent="0.15">
      <c r="B8" s="362" t="s">
        <v>79</v>
      </c>
      <c r="C8" s="555" t="s">
        <v>4</v>
      </c>
      <c r="D8" s="556" t="s">
        <v>180</v>
      </c>
      <c r="E8" s="323">
        <v>11</v>
      </c>
      <c r="F8" s="323">
        <v>25</v>
      </c>
      <c r="G8" s="325">
        <f t="shared" ref="G8:G15" si="0">(E8+F8)</f>
        <v>36</v>
      </c>
      <c r="H8" s="323">
        <v>1</v>
      </c>
      <c r="I8" s="323"/>
      <c r="J8" s="323">
        <v>4</v>
      </c>
      <c r="K8" s="323">
        <v>2</v>
      </c>
      <c r="L8" s="325">
        <f>((H8+J8)+K8)</f>
        <v>7</v>
      </c>
      <c r="M8" s="557"/>
      <c r="N8" s="323"/>
      <c r="O8" s="558">
        <v>0.25</v>
      </c>
      <c r="P8" s="558">
        <v>0.25</v>
      </c>
      <c r="Q8" s="558">
        <v>0.25</v>
      </c>
      <c r="R8" s="559"/>
      <c r="S8" s="558"/>
      <c r="T8" s="323"/>
      <c r="U8" s="323"/>
      <c r="V8" s="559">
        <v>2.25</v>
      </c>
      <c r="W8" s="558">
        <v>2</v>
      </c>
      <c r="X8" s="560">
        <f>SUM(M8:W8)</f>
        <v>5</v>
      </c>
      <c r="Y8" s="561" t="s">
        <v>116</v>
      </c>
      <c r="Z8" s="562" t="s">
        <v>4</v>
      </c>
      <c r="AA8" s="214"/>
    </row>
    <row r="9" spans="1:40" ht="24.75" customHeight="1" x14ac:dyDescent="0.15">
      <c r="B9" s="363"/>
      <c r="C9" s="563" t="s">
        <v>247</v>
      </c>
      <c r="D9" s="564" t="s">
        <v>248</v>
      </c>
      <c r="E9" s="328"/>
      <c r="F9" s="328">
        <v>20</v>
      </c>
      <c r="G9" s="324">
        <f t="shared" si="0"/>
        <v>20</v>
      </c>
      <c r="H9" s="328">
        <v>3</v>
      </c>
      <c r="I9" s="328">
        <v>1</v>
      </c>
      <c r="J9" s="328">
        <v>2</v>
      </c>
      <c r="K9" s="328">
        <v>2</v>
      </c>
      <c r="L9" s="324">
        <f>((H9+J9)+K9)</f>
        <v>7</v>
      </c>
      <c r="M9" s="565"/>
      <c r="N9" s="328"/>
      <c r="O9" s="566"/>
      <c r="P9" s="328"/>
      <c r="Q9" s="559"/>
      <c r="R9" s="559">
        <v>0.5</v>
      </c>
      <c r="S9" s="559">
        <v>5</v>
      </c>
      <c r="T9" s="328"/>
      <c r="U9" s="328"/>
      <c r="V9" s="328"/>
      <c r="W9" s="559">
        <v>1.5</v>
      </c>
      <c r="X9" s="567">
        <f>SUM(M9:W9)</f>
        <v>7</v>
      </c>
      <c r="Y9" s="568" t="s">
        <v>11</v>
      </c>
      <c r="Z9" s="132" t="s">
        <v>5</v>
      </c>
      <c r="AA9" s="214"/>
    </row>
    <row r="10" spans="1:40" ht="24.75" customHeight="1" x14ac:dyDescent="0.15">
      <c r="B10" s="363"/>
      <c r="C10" s="569" t="s">
        <v>251</v>
      </c>
      <c r="D10" s="564" t="s">
        <v>252</v>
      </c>
      <c r="E10" s="328">
        <v>5</v>
      </c>
      <c r="F10" s="328">
        <v>31</v>
      </c>
      <c r="G10" s="324">
        <f>(E10+F10)</f>
        <v>36</v>
      </c>
      <c r="H10" s="328">
        <v>2</v>
      </c>
      <c r="I10" s="570">
        <v>1</v>
      </c>
      <c r="J10" s="328">
        <v>5</v>
      </c>
      <c r="K10" s="328">
        <v>2</v>
      </c>
      <c r="L10" s="324">
        <f>((H10+J10)+K10)</f>
        <v>9</v>
      </c>
      <c r="M10" s="565"/>
      <c r="N10" s="328"/>
      <c r="O10" s="328"/>
      <c r="P10" s="328"/>
      <c r="Q10" s="328"/>
      <c r="R10" s="328"/>
      <c r="S10" s="328"/>
      <c r="T10" s="559">
        <v>9</v>
      </c>
      <c r="U10" s="328"/>
      <c r="V10" s="559"/>
      <c r="W10" s="559">
        <v>2</v>
      </c>
      <c r="X10" s="567">
        <f>SUM(M10:W10)</f>
        <v>11</v>
      </c>
      <c r="Y10" s="568" t="s">
        <v>11</v>
      </c>
      <c r="Z10" s="571" t="s">
        <v>251</v>
      </c>
      <c r="AA10" s="214"/>
    </row>
    <row r="11" spans="1:40" s="216" customFormat="1" ht="24.75" customHeight="1" x14ac:dyDescent="0.15">
      <c r="A11" s="211"/>
      <c r="B11" s="364"/>
      <c r="C11" s="59" t="s">
        <v>7</v>
      </c>
      <c r="D11" s="572"/>
      <c r="E11" s="573">
        <f>SUM(E8:E10)</f>
        <v>16</v>
      </c>
      <c r="F11" s="573">
        <f>SUM(F8:F10)</f>
        <v>76</v>
      </c>
      <c r="G11" s="573">
        <f t="shared" si="0"/>
        <v>92</v>
      </c>
      <c r="H11" s="573">
        <f t="shared" ref="H11:X11" si="1">SUM(H8:H10)</f>
        <v>6</v>
      </c>
      <c r="I11" s="573">
        <f t="shared" si="1"/>
        <v>2</v>
      </c>
      <c r="J11" s="573">
        <f t="shared" si="1"/>
        <v>11</v>
      </c>
      <c r="K11" s="573">
        <f t="shared" si="1"/>
        <v>6</v>
      </c>
      <c r="L11" s="573">
        <f t="shared" si="1"/>
        <v>23</v>
      </c>
      <c r="M11" s="574">
        <f t="shared" si="1"/>
        <v>0</v>
      </c>
      <c r="N11" s="574">
        <f t="shared" si="1"/>
        <v>0</v>
      </c>
      <c r="O11" s="574">
        <f t="shared" si="1"/>
        <v>0.25</v>
      </c>
      <c r="P11" s="574">
        <f t="shared" si="1"/>
        <v>0.25</v>
      </c>
      <c r="Q11" s="574">
        <f t="shared" si="1"/>
        <v>0.25</v>
      </c>
      <c r="R11" s="574">
        <f t="shared" si="1"/>
        <v>0.5</v>
      </c>
      <c r="S11" s="575">
        <f t="shared" si="1"/>
        <v>5</v>
      </c>
      <c r="T11" s="574">
        <f t="shared" si="1"/>
        <v>9</v>
      </c>
      <c r="U11" s="574">
        <f t="shared" si="1"/>
        <v>0</v>
      </c>
      <c r="V11" s="574">
        <f t="shared" si="1"/>
        <v>2.25</v>
      </c>
      <c r="W11" s="574">
        <f t="shared" si="1"/>
        <v>5.5</v>
      </c>
      <c r="X11" s="576">
        <f t="shared" si="1"/>
        <v>23</v>
      </c>
      <c r="Y11" s="577"/>
      <c r="Z11" s="133" t="s">
        <v>7</v>
      </c>
      <c r="AA11" s="217"/>
      <c r="AB11" s="218"/>
      <c r="AC11" s="218"/>
      <c r="AD11" s="218"/>
      <c r="AE11" s="218"/>
      <c r="AF11" s="218"/>
      <c r="AG11" s="218"/>
      <c r="AH11" s="218"/>
      <c r="AI11" s="218"/>
      <c r="AJ11" s="218"/>
      <c r="AK11" s="218"/>
      <c r="AL11" s="218"/>
      <c r="AM11" s="218"/>
      <c r="AN11" s="218"/>
    </row>
    <row r="12" spans="1:40" ht="24.75" customHeight="1" x14ac:dyDescent="0.15">
      <c r="B12" s="362" t="s">
        <v>83</v>
      </c>
      <c r="C12" s="555" t="s">
        <v>8</v>
      </c>
      <c r="D12" s="556" t="s">
        <v>181</v>
      </c>
      <c r="E12" s="323">
        <v>4</v>
      </c>
      <c r="F12" s="323">
        <v>22</v>
      </c>
      <c r="G12" s="325">
        <f t="shared" si="0"/>
        <v>26</v>
      </c>
      <c r="H12" s="323">
        <v>1</v>
      </c>
      <c r="I12" s="323"/>
      <c r="J12" s="578">
        <v>3</v>
      </c>
      <c r="K12" s="578">
        <v>2</v>
      </c>
      <c r="L12" s="579">
        <f>((H12+J12)+K12)</f>
        <v>6</v>
      </c>
      <c r="M12" s="580">
        <v>1</v>
      </c>
      <c r="N12" s="578"/>
      <c r="O12" s="580"/>
      <c r="P12" s="580">
        <v>0.2</v>
      </c>
      <c r="Q12" s="580">
        <v>0.5</v>
      </c>
      <c r="R12" s="580"/>
      <c r="S12" s="580"/>
      <c r="T12" s="580"/>
      <c r="U12" s="580">
        <v>0.3</v>
      </c>
      <c r="V12" s="580">
        <v>2.5</v>
      </c>
      <c r="W12" s="557">
        <v>1.5</v>
      </c>
      <c r="X12" s="560">
        <f>SUM(M12:W12)</f>
        <v>6</v>
      </c>
      <c r="Y12" s="561" t="s">
        <v>255</v>
      </c>
      <c r="Z12" s="562" t="s">
        <v>8</v>
      </c>
      <c r="AA12" s="214"/>
    </row>
    <row r="13" spans="1:40" ht="24.75" customHeight="1" x14ac:dyDescent="0.15">
      <c r="A13" s="367" t="s">
        <v>319</v>
      </c>
      <c r="B13" s="363"/>
      <c r="C13" s="563" t="s">
        <v>328</v>
      </c>
      <c r="D13" s="564" t="s">
        <v>182</v>
      </c>
      <c r="E13" s="328">
        <v>3</v>
      </c>
      <c r="F13" s="328">
        <v>28</v>
      </c>
      <c r="G13" s="324">
        <f t="shared" si="0"/>
        <v>31</v>
      </c>
      <c r="H13" s="328">
        <v>1</v>
      </c>
      <c r="I13" s="328">
        <v>1</v>
      </c>
      <c r="J13" s="328">
        <v>4</v>
      </c>
      <c r="K13" s="328">
        <v>2</v>
      </c>
      <c r="L13" s="329">
        <f>((H13+J13)+K13)</f>
        <v>7</v>
      </c>
      <c r="M13" s="559">
        <v>1</v>
      </c>
      <c r="N13" s="559"/>
      <c r="O13" s="565" t="s">
        <v>117</v>
      </c>
      <c r="P13" s="565"/>
      <c r="Q13" s="565"/>
      <c r="R13" s="565"/>
      <c r="S13" s="565">
        <v>4</v>
      </c>
      <c r="T13" s="565"/>
      <c r="U13" s="565"/>
      <c r="V13" s="565"/>
      <c r="W13" s="565">
        <v>1</v>
      </c>
      <c r="X13" s="567">
        <f>SUM(M13:W13)</f>
        <v>6</v>
      </c>
      <c r="Y13" s="568" t="s">
        <v>11</v>
      </c>
      <c r="Z13" s="132" t="s">
        <v>10</v>
      </c>
      <c r="AA13" s="214"/>
    </row>
    <row r="14" spans="1:40" ht="24.75" customHeight="1" x14ac:dyDescent="0.15">
      <c r="A14" s="367"/>
      <c r="B14" s="363"/>
      <c r="C14" s="563" t="s">
        <v>261</v>
      </c>
      <c r="D14" s="564" t="s">
        <v>183</v>
      </c>
      <c r="E14" s="328">
        <v>4</v>
      </c>
      <c r="F14" s="328">
        <v>49</v>
      </c>
      <c r="G14" s="324">
        <f t="shared" si="0"/>
        <v>53</v>
      </c>
      <c r="H14" s="328"/>
      <c r="I14" s="328"/>
      <c r="J14" s="328">
        <v>7</v>
      </c>
      <c r="K14" s="328">
        <v>2</v>
      </c>
      <c r="L14" s="329">
        <f>((H14+J14)+K14)</f>
        <v>9</v>
      </c>
      <c r="M14" s="565"/>
      <c r="N14" s="328"/>
      <c r="O14" s="581"/>
      <c r="P14" s="581"/>
      <c r="Q14" s="581"/>
      <c r="R14" s="581"/>
      <c r="S14" s="565">
        <v>5</v>
      </c>
      <c r="T14" s="581"/>
      <c r="U14" s="581"/>
      <c r="V14" s="565"/>
      <c r="W14" s="565">
        <v>3</v>
      </c>
      <c r="X14" s="567">
        <f>SUM(M14:W14)</f>
        <v>8</v>
      </c>
      <c r="Y14" s="568" t="s">
        <v>11</v>
      </c>
      <c r="Z14" s="132" t="s">
        <v>261</v>
      </c>
      <c r="AA14" s="214"/>
    </row>
    <row r="15" spans="1:40" ht="24.75" customHeight="1" x14ac:dyDescent="0.15">
      <c r="A15" s="367"/>
      <c r="B15" s="363"/>
      <c r="C15" s="563" t="s">
        <v>12</v>
      </c>
      <c r="D15" s="564" t="s">
        <v>184</v>
      </c>
      <c r="E15" s="328">
        <v>2</v>
      </c>
      <c r="F15" s="328">
        <v>14</v>
      </c>
      <c r="G15" s="324">
        <f t="shared" si="0"/>
        <v>16</v>
      </c>
      <c r="H15" s="328"/>
      <c r="I15" s="328"/>
      <c r="J15" s="328">
        <v>5</v>
      </c>
      <c r="K15" s="328">
        <v>2</v>
      </c>
      <c r="L15" s="329">
        <f t="shared" ref="L15:L21" si="2">((H15+J15)+K15)</f>
        <v>7</v>
      </c>
      <c r="M15" s="565"/>
      <c r="N15" s="565"/>
      <c r="O15" s="581"/>
      <c r="P15" s="581"/>
      <c r="Q15" s="581"/>
      <c r="R15" s="581"/>
      <c r="S15" s="581"/>
      <c r="T15" s="581"/>
      <c r="U15" s="581"/>
      <c r="V15" s="565"/>
      <c r="W15" s="565">
        <v>1</v>
      </c>
      <c r="X15" s="567">
        <f>SUM(M15:W15)</f>
        <v>1</v>
      </c>
      <c r="Y15" s="568" t="s">
        <v>11</v>
      </c>
      <c r="Z15" s="132" t="s">
        <v>12</v>
      </c>
      <c r="AA15" s="214"/>
    </row>
    <row r="16" spans="1:40" ht="24.75" customHeight="1" x14ac:dyDescent="0.15">
      <c r="B16" s="364"/>
      <c r="C16" s="59" t="s">
        <v>118</v>
      </c>
      <c r="D16" s="572"/>
      <c r="E16" s="573">
        <f t="shared" ref="E16:X16" si="3">SUM(E12:E15)</f>
        <v>13</v>
      </c>
      <c r="F16" s="573">
        <f t="shared" si="3"/>
        <v>113</v>
      </c>
      <c r="G16" s="573">
        <f t="shared" si="3"/>
        <v>126</v>
      </c>
      <c r="H16" s="573">
        <f t="shared" si="3"/>
        <v>2</v>
      </c>
      <c r="I16" s="573">
        <f t="shared" si="3"/>
        <v>1</v>
      </c>
      <c r="J16" s="573">
        <f t="shared" si="3"/>
        <v>19</v>
      </c>
      <c r="K16" s="573">
        <f t="shared" si="3"/>
        <v>8</v>
      </c>
      <c r="L16" s="582">
        <f>((H16+J16)+K16)</f>
        <v>29</v>
      </c>
      <c r="M16" s="583">
        <f t="shared" si="3"/>
        <v>2</v>
      </c>
      <c r="N16" s="583">
        <f t="shared" si="3"/>
        <v>0</v>
      </c>
      <c r="O16" s="574">
        <f t="shared" si="3"/>
        <v>0</v>
      </c>
      <c r="P16" s="574">
        <f t="shared" si="3"/>
        <v>0.2</v>
      </c>
      <c r="Q16" s="574">
        <f t="shared" si="3"/>
        <v>0.5</v>
      </c>
      <c r="R16" s="574">
        <f t="shared" si="3"/>
        <v>0</v>
      </c>
      <c r="S16" s="575">
        <f t="shared" si="3"/>
        <v>9</v>
      </c>
      <c r="T16" s="574">
        <f t="shared" si="3"/>
        <v>0</v>
      </c>
      <c r="U16" s="574">
        <f t="shared" si="3"/>
        <v>0.3</v>
      </c>
      <c r="V16" s="574">
        <f t="shared" si="3"/>
        <v>2.5</v>
      </c>
      <c r="W16" s="574">
        <f t="shared" si="3"/>
        <v>6.5</v>
      </c>
      <c r="X16" s="576">
        <f t="shared" si="3"/>
        <v>21</v>
      </c>
      <c r="Y16" s="577"/>
      <c r="Z16" s="133" t="s">
        <v>13</v>
      </c>
      <c r="AA16" s="214"/>
    </row>
    <row r="17" spans="2:27" ht="24.75" customHeight="1" x14ac:dyDescent="0.15">
      <c r="B17" s="362" t="s">
        <v>177</v>
      </c>
      <c r="C17" s="555" t="s">
        <v>258</v>
      </c>
      <c r="D17" s="556" t="s">
        <v>253</v>
      </c>
      <c r="E17" s="323">
        <v>2</v>
      </c>
      <c r="F17" s="323">
        <v>14</v>
      </c>
      <c r="G17" s="324">
        <f>(E17+F17)</f>
        <v>16</v>
      </c>
      <c r="H17" s="323">
        <v>2</v>
      </c>
      <c r="I17" s="323"/>
      <c r="J17" s="323">
        <v>3</v>
      </c>
      <c r="K17" s="323">
        <v>2</v>
      </c>
      <c r="L17" s="325">
        <f t="shared" si="2"/>
        <v>7</v>
      </c>
      <c r="M17" s="326"/>
      <c r="N17" s="323"/>
      <c r="O17" s="326"/>
      <c r="P17" s="326"/>
      <c r="Q17" s="326"/>
      <c r="R17" s="326"/>
      <c r="S17" s="326"/>
      <c r="T17" s="326"/>
      <c r="U17" s="326"/>
      <c r="V17" s="326">
        <v>2</v>
      </c>
      <c r="W17" s="326">
        <v>1</v>
      </c>
      <c r="X17" s="567">
        <f>SUM(M17:W17)</f>
        <v>3</v>
      </c>
      <c r="Y17" s="561" t="s">
        <v>264</v>
      </c>
      <c r="Z17" s="555" t="s">
        <v>259</v>
      </c>
      <c r="AA17" s="214"/>
    </row>
    <row r="18" spans="2:27" ht="24.75" customHeight="1" x14ac:dyDescent="0.15">
      <c r="B18" s="363"/>
      <c r="C18" s="563" t="s">
        <v>199</v>
      </c>
      <c r="D18" s="564" t="s">
        <v>254</v>
      </c>
      <c r="E18" s="327">
        <v>9</v>
      </c>
      <c r="F18" s="327">
        <v>14</v>
      </c>
      <c r="G18" s="324">
        <f>(E18+F18)</f>
        <v>23</v>
      </c>
      <c r="H18" s="327">
        <v>1</v>
      </c>
      <c r="I18" s="328">
        <v>1</v>
      </c>
      <c r="J18" s="328">
        <v>4</v>
      </c>
      <c r="K18" s="328">
        <v>2</v>
      </c>
      <c r="L18" s="329">
        <f t="shared" si="2"/>
        <v>7</v>
      </c>
      <c r="M18" s="330"/>
      <c r="N18" s="328"/>
      <c r="O18" s="330"/>
      <c r="P18" s="330">
        <v>1</v>
      </c>
      <c r="Q18" s="330"/>
      <c r="R18" s="330"/>
      <c r="S18" s="330">
        <v>3</v>
      </c>
      <c r="T18" s="330"/>
      <c r="U18" s="330"/>
      <c r="V18" s="330"/>
      <c r="W18" s="330">
        <v>1</v>
      </c>
      <c r="X18" s="584">
        <f>SUM(M18:W18)</f>
        <v>5</v>
      </c>
      <c r="Y18" s="568" t="s">
        <v>256</v>
      </c>
      <c r="Z18" s="563" t="s">
        <v>199</v>
      </c>
      <c r="AA18" s="214"/>
    </row>
    <row r="19" spans="2:27" ht="24.75" customHeight="1" x14ac:dyDescent="0.15">
      <c r="B19" s="363"/>
      <c r="C19" s="563" t="s">
        <v>14</v>
      </c>
      <c r="D19" s="564" t="s">
        <v>185</v>
      </c>
      <c r="E19" s="328">
        <v>3</v>
      </c>
      <c r="F19" s="328">
        <v>64</v>
      </c>
      <c r="G19" s="324">
        <f>(E19+F19)</f>
        <v>67</v>
      </c>
      <c r="H19" s="328">
        <v>1</v>
      </c>
      <c r="I19" s="328">
        <v>1</v>
      </c>
      <c r="J19" s="328">
        <v>8</v>
      </c>
      <c r="K19" s="328">
        <v>3</v>
      </c>
      <c r="L19" s="329">
        <f t="shared" si="2"/>
        <v>12</v>
      </c>
      <c r="M19" s="330"/>
      <c r="N19" s="585"/>
      <c r="O19" s="586"/>
      <c r="P19" s="586"/>
      <c r="Q19" s="586"/>
      <c r="R19" s="586"/>
      <c r="S19" s="586"/>
      <c r="T19" s="586"/>
      <c r="U19" s="586"/>
      <c r="V19" s="586">
        <v>1</v>
      </c>
      <c r="W19" s="586">
        <v>1</v>
      </c>
      <c r="X19" s="584">
        <f>SUM(M19:W19)</f>
        <v>2</v>
      </c>
      <c r="Y19" s="568" t="s">
        <v>119</v>
      </c>
      <c r="Z19" s="132" t="s">
        <v>14</v>
      </c>
      <c r="AA19" s="214"/>
    </row>
    <row r="20" spans="2:27" ht="24.75" customHeight="1" x14ac:dyDescent="0.15">
      <c r="B20" s="363"/>
      <c r="C20" s="563" t="s">
        <v>15</v>
      </c>
      <c r="D20" s="564" t="s">
        <v>186</v>
      </c>
      <c r="E20" s="328"/>
      <c r="F20" s="328">
        <v>32</v>
      </c>
      <c r="G20" s="324">
        <f>(E20+F20)</f>
        <v>32</v>
      </c>
      <c r="H20" s="328">
        <v>3</v>
      </c>
      <c r="I20" s="328"/>
      <c r="J20" s="328">
        <v>5</v>
      </c>
      <c r="K20" s="328">
        <v>3</v>
      </c>
      <c r="L20" s="329">
        <f t="shared" si="2"/>
        <v>11</v>
      </c>
      <c r="M20" s="330"/>
      <c r="N20" s="587"/>
      <c r="O20" s="586"/>
      <c r="P20" s="586"/>
      <c r="Q20" s="586">
        <v>3</v>
      </c>
      <c r="R20" s="586"/>
      <c r="S20" s="586">
        <v>25</v>
      </c>
      <c r="T20" s="586"/>
      <c r="U20" s="586"/>
      <c r="V20" s="586"/>
      <c r="W20" s="586">
        <v>5</v>
      </c>
      <c r="X20" s="584">
        <f>SUM(M20:W20)</f>
        <v>33</v>
      </c>
      <c r="Y20" s="568" t="s">
        <v>120</v>
      </c>
      <c r="Z20" s="132" t="s">
        <v>15</v>
      </c>
      <c r="AA20" s="214"/>
    </row>
    <row r="21" spans="2:27" ht="24.75" customHeight="1" x14ac:dyDescent="0.15">
      <c r="B21" s="364"/>
      <c r="C21" s="239" t="s">
        <v>178</v>
      </c>
      <c r="D21" s="256"/>
      <c r="E21" s="235">
        <f t="shared" ref="E21:X21" si="4">SUM(E17:E20)</f>
        <v>14</v>
      </c>
      <c r="F21" s="235">
        <f t="shared" si="4"/>
        <v>124</v>
      </c>
      <c r="G21" s="235">
        <f t="shared" si="4"/>
        <v>138</v>
      </c>
      <c r="H21" s="235">
        <f t="shared" si="4"/>
        <v>7</v>
      </c>
      <c r="I21" s="235">
        <f t="shared" si="4"/>
        <v>2</v>
      </c>
      <c r="J21" s="235">
        <f t="shared" si="4"/>
        <v>20</v>
      </c>
      <c r="K21" s="235">
        <f t="shared" si="4"/>
        <v>10</v>
      </c>
      <c r="L21" s="257">
        <f t="shared" si="2"/>
        <v>37</v>
      </c>
      <c r="M21" s="258">
        <f t="shared" si="4"/>
        <v>0</v>
      </c>
      <c r="N21" s="295">
        <f t="shared" si="4"/>
        <v>0</v>
      </c>
      <c r="O21" s="236">
        <f t="shared" si="4"/>
        <v>0</v>
      </c>
      <c r="P21" s="236">
        <f t="shared" si="4"/>
        <v>1</v>
      </c>
      <c r="Q21" s="236">
        <f t="shared" si="4"/>
        <v>3</v>
      </c>
      <c r="R21" s="236">
        <f t="shared" si="4"/>
        <v>0</v>
      </c>
      <c r="S21" s="236">
        <f t="shared" si="4"/>
        <v>28</v>
      </c>
      <c r="T21" s="236">
        <f t="shared" si="4"/>
        <v>0</v>
      </c>
      <c r="U21" s="236">
        <f t="shared" si="4"/>
        <v>0</v>
      </c>
      <c r="V21" s="236">
        <f t="shared" si="4"/>
        <v>3</v>
      </c>
      <c r="W21" s="236">
        <f t="shared" si="4"/>
        <v>8</v>
      </c>
      <c r="X21" s="296">
        <f t="shared" si="4"/>
        <v>43</v>
      </c>
      <c r="Y21" s="237"/>
      <c r="Z21" s="238" t="s">
        <v>178</v>
      </c>
      <c r="AA21" s="214"/>
    </row>
    <row r="22" spans="2:27" ht="24.75" customHeight="1" x14ac:dyDescent="0.15">
      <c r="B22" s="368" t="s">
        <v>187</v>
      </c>
      <c r="C22" s="369"/>
      <c r="D22" s="297"/>
      <c r="E22" s="298">
        <f t="shared" ref="E22:K22" si="5">((E11+E16)+E21)</f>
        <v>43</v>
      </c>
      <c r="F22" s="298">
        <f t="shared" si="5"/>
        <v>313</v>
      </c>
      <c r="G22" s="298">
        <f t="shared" si="5"/>
        <v>356</v>
      </c>
      <c r="H22" s="298">
        <f t="shared" si="5"/>
        <v>15</v>
      </c>
      <c r="I22" s="298">
        <f t="shared" si="5"/>
        <v>5</v>
      </c>
      <c r="J22" s="298">
        <f t="shared" si="5"/>
        <v>50</v>
      </c>
      <c r="K22" s="298">
        <f t="shared" si="5"/>
        <v>24</v>
      </c>
      <c r="L22" s="298">
        <f>((H22+J22)+K22)</f>
        <v>89</v>
      </c>
      <c r="M22" s="299">
        <f t="shared" ref="M22:X22" si="6">((M11+M16)+M21)</f>
        <v>2</v>
      </c>
      <c r="N22" s="300">
        <f t="shared" si="6"/>
        <v>0</v>
      </c>
      <c r="O22" s="300">
        <f t="shared" si="6"/>
        <v>0.25</v>
      </c>
      <c r="P22" s="300">
        <f t="shared" si="6"/>
        <v>1.45</v>
      </c>
      <c r="Q22" s="300">
        <f t="shared" si="6"/>
        <v>3.75</v>
      </c>
      <c r="R22" s="300">
        <f t="shared" si="6"/>
        <v>0.5</v>
      </c>
      <c r="S22" s="300">
        <f t="shared" si="6"/>
        <v>42</v>
      </c>
      <c r="T22" s="300">
        <f t="shared" si="6"/>
        <v>9</v>
      </c>
      <c r="U22" s="300">
        <f t="shared" si="6"/>
        <v>0.3</v>
      </c>
      <c r="V22" s="300">
        <f t="shared" si="6"/>
        <v>7.75</v>
      </c>
      <c r="W22" s="300">
        <f t="shared" si="6"/>
        <v>20</v>
      </c>
      <c r="X22" s="301">
        <f t="shared" si="6"/>
        <v>87</v>
      </c>
      <c r="Y22" s="302"/>
      <c r="Z22" s="303" t="s">
        <v>91</v>
      </c>
      <c r="AA22" s="214"/>
    </row>
    <row r="23" spans="2:27" ht="24.95" customHeight="1" x14ac:dyDescent="0.15"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4"/>
      <c r="Y23" s="214"/>
      <c r="Z23" s="214"/>
      <c r="AA23" s="214"/>
    </row>
  </sheetData>
  <mergeCells count="33">
    <mergeCell ref="A13:A15"/>
    <mergeCell ref="B22:C22"/>
    <mergeCell ref="B8:B11"/>
    <mergeCell ref="B2:B7"/>
    <mergeCell ref="D2:D7"/>
    <mergeCell ref="B12:B16"/>
    <mergeCell ref="E3:E7"/>
    <mergeCell ref="M2:X2"/>
    <mergeCell ref="B17:B21"/>
    <mergeCell ref="G3:G7"/>
    <mergeCell ref="F3:F7"/>
    <mergeCell ref="K3:K7"/>
    <mergeCell ref="O3:O7"/>
    <mergeCell ref="P3:P7"/>
    <mergeCell ref="T3:T7"/>
    <mergeCell ref="J3:J7"/>
    <mergeCell ref="S3:S7"/>
    <mergeCell ref="Z2:Z7"/>
    <mergeCell ref="C2:C7"/>
    <mergeCell ref="U3:U7"/>
    <mergeCell ref="V3:V7"/>
    <mergeCell ref="W3:W7"/>
    <mergeCell ref="Q3:Q7"/>
    <mergeCell ref="R3:R7"/>
    <mergeCell ref="H3:H7"/>
    <mergeCell ref="Y2:Y7"/>
    <mergeCell ref="X3:X7"/>
    <mergeCell ref="L3:L7"/>
    <mergeCell ref="E2:G2"/>
    <mergeCell ref="H2:L2"/>
    <mergeCell ref="M3:M7"/>
    <mergeCell ref="N3:N7"/>
    <mergeCell ref="I3:I7"/>
  </mergeCells>
  <phoneticPr fontId="1"/>
  <printOptions horizontalCentered="1" gridLinesSet="0"/>
  <pageMargins left="0.27559055118110237" right="0.51181102362204722" top="0.74803149606299213" bottom="0.35433070866141736" header="0.31496062992125984" footer="0.31496062992125984"/>
  <pageSetup paperSize="9" scale="95" firstPageNumber="55" orientation="landscape" useFirstPageNumber="1" r:id="rId1"/>
  <headerFooter alignWithMargins="0"/>
  <ignoredErrors>
    <ignoredError sqref="L11 G11 X11 G16:L16 M16:T16 L21:L22 U16:X1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rgb="FFFFFF00"/>
  </sheetPr>
  <dimension ref="A1:IY21"/>
  <sheetViews>
    <sheetView view="pageBreakPreview" zoomScale="70" zoomScaleNormal="100" zoomScaleSheetLayoutView="70" workbookViewId="0">
      <selection activeCell="AT12" sqref="AT12"/>
    </sheetView>
  </sheetViews>
  <sheetFormatPr defaultColWidth="10.625" defaultRowHeight="23.1" customHeight="1" x14ac:dyDescent="0.15"/>
  <cols>
    <col min="1" max="2" width="2.5" style="219" customWidth="1"/>
    <col min="3" max="3" width="9.75" style="219" customWidth="1"/>
    <col min="4" max="7" width="5.75" style="219" customWidth="1"/>
    <col min="8" max="10" width="7" style="219" customWidth="1"/>
    <col min="11" max="11" width="4.5" style="219" customWidth="1"/>
    <col min="12" max="12" width="6.75" style="219" customWidth="1"/>
    <col min="13" max="13" width="4.5" style="219" customWidth="1"/>
    <col min="14" max="14" width="6.75" style="219" customWidth="1"/>
    <col min="15" max="15" width="4.5" style="219" customWidth="1"/>
    <col min="16" max="16" width="6.75" style="219" customWidth="1"/>
    <col min="17" max="17" width="4.5" style="219" customWidth="1"/>
    <col min="18" max="18" width="8.5" style="219" customWidth="1"/>
    <col min="19" max="19" width="9.75" style="219" customWidth="1"/>
    <col min="20" max="21" width="2.5" style="219" customWidth="1"/>
    <col min="22" max="22" width="10.75" style="219" customWidth="1"/>
    <col min="23" max="33" width="7.375" style="219" customWidth="1"/>
    <col min="34" max="34" width="7.875" style="219" customWidth="1"/>
    <col min="35" max="35" width="10.75" style="219" customWidth="1"/>
    <col min="36" max="37" width="2.5" style="219" customWidth="1"/>
    <col min="38" max="38" width="10.75" style="219" customWidth="1"/>
    <col min="39" max="39" width="5.5" style="219" customWidth="1"/>
    <col min="40" max="40" width="6.125" style="219" customWidth="1"/>
    <col min="41" max="42" width="5.5" style="219" customWidth="1"/>
    <col min="43" max="43" width="6.125" style="219" customWidth="1"/>
    <col min="44" max="45" width="5.5" style="219" customWidth="1"/>
    <col min="46" max="46" width="6.125" style="219" customWidth="1"/>
    <col min="47" max="48" width="5.5" style="219" customWidth="1"/>
    <col min="49" max="49" width="6.125" style="219" customWidth="1"/>
    <col min="50" max="50" width="5.5" style="219" customWidth="1"/>
    <col min="51" max="51" width="7.75" style="219" customWidth="1"/>
    <col min="52" max="52" width="6.25" style="219" customWidth="1"/>
    <col min="53" max="53" width="7.75" style="219" customWidth="1"/>
    <col min="54" max="54" width="10.75" style="219" customWidth="1"/>
    <col min="55" max="82" width="10.625" style="219" customWidth="1"/>
    <col min="83" max="16384" width="10.625" style="219"/>
  </cols>
  <sheetData>
    <row r="1" spans="1:82" ht="18" customHeight="1" x14ac:dyDescent="0.15">
      <c r="B1" s="220"/>
      <c r="C1" s="221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1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  <c r="AH1" s="220"/>
      <c r="AI1" s="220"/>
      <c r="AJ1" s="220"/>
      <c r="AK1" s="220"/>
      <c r="AL1" s="221"/>
      <c r="AM1" s="220"/>
      <c r="AN1" s="220"/>
      <c r="AO1" s="220"/>
      <c r="AP1" s="220"/>
      <c r="AQ1" s="220"/>
      <c r="AR1" s="220"/>
      <c r="AS1" s="220"/>
      <c r="AT1" s="220"/>
      <c r="AU1" s="220"/>
      <c r="AV1" s="220"/>
      <c r="AW1" s="220"/>
      <c r="AX1" s="220"/>
      <c r="AY1" s="220"/>
      <c r="AZ1" s="220"/>
      <c r="BA1" s="220"/>
      <c r="BB1" s="220"/>
      <c r="BC1" s="220"/>
    </row>
    <row r="2" spans="1:82" ht="18" customHeight="1" x14ac:dyDescent="0.15">
      <c r="B2" s="222" t="s">
        <v>167</v>
      </c>
      <c r="C2" s="223"/>
      <c r="D2" s="220"/>
      <c r="E2" s="220"/>
      <c r="F2" s="220"/>
      <c r="G2" s="220"/>
      <c r="H2" s="220"/>
      <c r="I2" s="220"/>
      <c r="J2" s="220"/>
      <c r="K2" s="221"/>
      <c r="L2" s="220"/>
      <c r="M2" s="220"/>
      <c r="N2" s="220"/>
      <c r="O2" s="220"/>
      <c r="P2" s="220"/>
      <c r="Q2" s="220"/>
      <c r="R2" s="220"/>
      <c r="S2" s="220"/>
      <c r="T2" s="220"/>
      <c r="U2" s="222"/>
      <c r="V2" s="224"/>
      <c r="W2" s="221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2"/>
      <c r="AL2" s="224"/>
      <c r="AM2" s="220"/>
      <c r="AN2" s="220"/>
      <c r="AO2" s="220"/>
      <c r="AP2" s="220"/>
      <c r="AQ2" s="220"/>
      <c r="AR2" s="220"/>
      <c r="AS2" s="220"/>
      <c r="AT2" s="220"/>
      <c r="AU2" s="220"/>
      <c r="AV2" s="220"/>
      <c r="AW2" s="220"/>
      <c r="AX2" s="220"/>
      <c r="AY2" s="220"/>
      <c r="AZ2" s="220"/>
      <c r="BA2" s="220"/>
      <c r="BB2" s="220"/>
      <c r="BC2" s="220"/>
    </row>
    <row r="3" spans="1:82" ht="18" customHeight="1" x14ac:dyDescent="0.15">
      <c r="B3" s="225" t="s">
        <v>282</v>
      </c>
      <c r="C3" s="225"/>
      <c r="D3" s="226"/>
      <c r="E3" s="226"/>
      <c r="F3" s="226"/>
      <c r="G3" s="226"/>
      <c r="H3" s="226"/>
      <c r="I3" s="370" t="s">
        <v>243</v>
      </c>
      <c r="J3" s="370"/>
      <c r="K3" s="225" t="s">
        <v>188</v>
      </c>
      <c r="L3" s="226"/>
      <c r="M3" s="226"/>
      <c r="N3" s="226"/>
      <c r="O3" s="226"/>
      <c r="P3" s="226"/>
      <c r="Q3" s="226"/>
      <c r="R3" s="370" t="s">
        <v>244</v>
      </c>
      <c r="S3" s="370"/>
      <c r="T3" s="227"/>
      <c r="U3" s="225"/>
      <c r="V3" s="225" t="s">
        <v>283</v>
      </c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370" t="s">
        <v>243</v>
      </c>
      <c r="AI3" s="370"/>
      <c r="AJ3" s="227"/>
      <c r="AK3" s="225"/>
      <c r="AL3" s="225" t="s">
        <v>284</v>
      </c>
      <c r="AM3" s="226"/>
      <c r="AN3" s="226"/>
      <c r="AO3" s="226"/>
      <c r="AP3" s="226"/>
      <c r="AQ3" s="226"/>
      <c r="AR3" s="226"/>
      <c r="AS3" s="226"/>
      <c r="AT3" s="226"/>
      <c r="AU3" s="226"/>
      <c r="AV3" s="226"/>
      <c r="AW3" s="226"/>
      <c r="AX3" s="226"/>
      <c r="AY3" s="226"/>
      <c r="AZ3" s="226"/>
      <c r="BA3" s="370" t="s">
        <v>243</v>
      </c>
      <c r="BB3" s="370"/>
      <c r="BC3" s="220"/>
    </row>
    <row r="4" spans="1:82" ht="21.75" customHeight="1" x14ac:dyDescent="0.15">
      <c r="B4" s="374" t="s">
        <v>53</v>
      </c>
      <c r="C4" s="377" t="s">
        <v>189</v>
      </c>
      <c r="D4" s="398" t="s">
        <v>121</v>
      </c>
      <c r="E4" s="386"/>
      <c r="F4" s="386"/>
      <c r="G4" s="399"/>
      <c r="H4" s="385" t="s">
        <v>122</v>
      </c>
      <c r="I4" s="386"/>
      <c r="J4" s="386"/>
      <c r="K4" s="380" t="s">
        <v>16</v>
      </c>
      <c r="L4" s="381"/>
      <c r="M4" s="381"/>
      <c r="N4" s="381"/>
      <c r="O4" s="381" t="s">
        <v>123</v>
      </c>
      <c r="P4" s="381"/>
      <c r="Q4" s="381"/>
      <c r="R4" s="391"/>
      <c r="S4" s="371" t="s">
        <v>190</v>
      </c>
      <c r="T4" s="228"/>
      <c r="U4" s="374" t="s">
        <v>53</v>
      </c>
      <c r="V4" s="377" t="s">
        <v>189</v>
      </c>
      <c r="W4" s="380" t="s">
        <v>124</v>
      </c>
      <c r="X4" s="381"/>
      <c r="Y4" s="381"/>
      <c r="Z4" s="381"/>
      <c r="AA4" s="381"/>
      <c r="AB4" s="381"/>
      <c r="AC4" s="381"/>
      <c r="AD4" s="381"/>
      <c r="AE4" s="381"/>
      <c r="AF4" s="381"/>
      <c r="AG4" s="381"/>
      <c r="AH4" s="382"/>
      <c r="AI4" s="371" t="s">
        <v>164</v>
      </c>
      <c r="AJ4" s="228"/>
      <c r="AK4" s="374" t="s">
        <v>53</v>
      </c>
      <c r="AL4" s="377" t="s">
        <v>189</v>
      </c>
      <c r="AM4" s="380" t="s">
        <v>125</v>
      </c>
      <c r="AN4" s="381"/>
      <c r="AO4" s="381"/>
      <c r="AP4" s="381"/>
      <c r="AQ4" s="381"/>
      <c r="AR4" s="381"/>
      <c r="AS4" s="381"/>
      <c r="AT4" s="381"/>
      <c r="AU4" s="381"/>
      <c r="AV4" s="381"/>
      <c r="AW4" s="381"/>
      <c r="AX4" s="391"/>
      <c r="AY4" s="385" t="s">
        <v>191</v>
      </c>
      <c r="AZ4" s="386"/>
      <c r="BA4" s="387"/>
      <c r="BB4" s="371" t="s">
        <v>192</v>
      </c>
      <c r="BC4" s="220"/>
    </row>
    <row r="5" spans="1:82" ht="21.75" customHeight="1" x14ac:dyDescent="0.15">
      <c r="B5" s="375"/>
      <c r="C5" s="378"/>
      <c r="D5" s="400"/>
      <c r="E5" s="389"/>
      <c r="F5" s="389"/>
      <c r="G5" s="401"/>
      <c r="H5" s="388"/>
      <c r="I5" s="389"/>
      <c r="J5" s="389"/>
      <c r="K5" s="396" t="s">
        <v>126</v>
      </c>
      <c r="L5" s="397"/>
      <c r="M5" s="397" t="s">
        <v>127</v>
      </c>
      <c r="N5" s="397"/>
      <c r="O5" s="397" t="s">
        <v>128</v>
      </c>
      <c r="P5" s="397"/>
      <c r="Q5" s="397" t="s">
        <v>129</v>
      </c>
      <c r="R5" s="404"/>
      <c r="S5" s="372"/>
      <c r="T5" s="228"/>
      <c r="U5" s="375"/>
      <c r="V5" s="378"/>
      <c r="W5" s="383" t="s">
        <v>130</v>
      </c>
      <c r="X5" s="384"/>
      <c r="Y5" s="384"/>
      <c r="Z5" s="384" t="s">
        <v>131</v>
      </c>
      <c r="AA5" s="384"/>
      <c r="AB5" s="384"/>
      <c r="AC5" s="384" t="s">
        <v>318</v>
      </c>
      <c r="AD5" s="384"/>
      <c r="AE5" s="384"/>
      <c r="AF5" s="384" t="s">
        <v>132</v>
      </c>
      <c r="AG5" s="384"/>
      <c r="AH5" s="395"/>
      <c r="AI5" s="372"/>
      <c r="AJ5" s="228"/>
      <c r="AK5" s="375"/>
      <c r="AL5" s="378"/>
      <c r="AM5" s="383" t="s">
        <v>130</v>
      </c>
      <c r="AN5" s="384"/>
      <c r="AO5" s="384"/>
      <c r="AP5" s="384" t="s">
        <v>133</v>
      </c>
      <c r="AQ5" s="384"/>
      <c r="AR5" s="384"/>
      <c r="AS5" s="384" t="s">
        <v>318</v>
      </c>
      <c r="AT5" s="384"/>
      <c r="AU5" s="384"/>
      <c r="AV5" s="384" t="s">
        <v>132</v>
      </c>
      <c r="AW5" s="384"/>
      <c r="AX5" s="392"/>
      <c r="AY5" s="388"/>
      <c r="AZ5" s="389"/>
      <c r="BA5" s="390"/>
      <c r="BB5" s="372"/>
      <c r="BC5" s="220"/>
    </row>
    <row r="6" spans="1:82" ht="21.75" customHeight="1" x14ac:dyDescent="0.15">
      <c r="B6" s="376"/>
      <c r="C6" s="379"/>
      <c r="D6" s="229" t="s">
        <v>134</v>
      </c>
      <c r="E6" s="229" t="s">
        <v>135</v>
      </c>
      <c r="F6" s="229" t="s">
        <v>18</v>
      </c>
      <c r="G6" s="229" t="s">
        <v>17</v>
      </c>
      <c r="H6" s="230" t="s">
        <v>136</v>
      </c>
      <c r="I6" s="229" t="s">
        <v>137</v>
      </c>
      <c r="J6" s="231" t="s">
        <v>17</v>
      </c>
      <c r="K6" s="232" t="s">
        <v>19</v>
      </c>
      <c r="L6" s="229" t="s">
        <v>20</v>
      </c>
      <c r="M6" s="229" t="s">
        <v>19</v>
      </c>
      <c r="N6" s="229" t="s">
        <v>20</v>
      </c>
      <c r="O6" s="229" t="s">
        <v>19</v>
      </c>
      <c r="P6" s="229" t="s">
        <v>20</v>
      </c>
      <c r="Q6" s="229" t="s">
        <v>19</v>
      </c>
      <c r="R6" s="231" t="s">
        <v>20</v>
      </c>
      <c r="S6" s="373"/>
      <c r="T6" s="228"/>
      <c r="U6" s="376"/>
      <c r="V6" s="379"/>
      <c r="W6" s="232" t="s">
        <v>138</v>
      </c>
      <c r="X6" s="229" t="s">
        <v>329</v>
      </c>
      <c r="Y6" s="229" t="s">
        <v>310</v>
      </c>
      <c r="Z6" s="229" t="s">
        <v>138</v>
      </c>
      <c r="AA6" s="229" t="s">
        <v>21</v>
      </c>
      <c r="AB6" s="229" t="s">
        <v>139</v>
      </c>
      <c r="AC6" s="229" t="s">
        <v>297</v>
      </c>
      <c r="AD6" s="229" t="s">
        <v>329</v>
      </c>
      <c r="AE6" s="229" t="s">
        <v>139</v>
      </c>
      <c r="AF6" s="229" t="s">
        <v>138</v>
      </c>
      <c r="AG6" s="229" t="s">
        <v>21</v>
      </c>
      <c r="AH6" s="233" t="s">
        <v>139</v>
      </c>
      <c r="AI6" s="373"/>
      <c r="AJ6" s="228"/>
      <c r="AK6" s="376"/>
      <c r="AL6" s="379"/>
      <c r="AM6" s="232" t="s">
        <v>224</v>
      </c>
      <c r="AN6" s="229" t="s">
        <v>21</v>
      </c>
      <c r="AO6" s="229" t="s">
        <v>225</v>
      </c>
      <c r="AP6" s="230" t="s">
        <v>224</v>
      </c>
      <c r="AQ6" s="229" t="s">
        <v>21</v>
      </c>
      <c r="AR6" s="229" t="s">
        <v>225</v>
      </c>
      <c r="AS6" s="230" t="s">
        <v>224</v>
      </c>
      <c r="AT6" s="229" t="s">
        <v>21</v>
      </c>
      <c r="AU6" s="229" t="s">
        <v>225</v>
      </c>
      <c r="AV6" s="230" t="s">
        <v>224</v>
      </c>
      <c r="AW6" s="229" t="s">
        <v>21</v>
      </c>
      <c r="AX6" s="229" t="s">
        <v>225</v>
      </c>
      <c r="AY6" s="229" t="s">
        <v>193</v>
      </c>
      <c r="AZ6" s="229" t="s">
        <v>21</v>
      </c>
      <c r="BA6" s="233" t="s">
        <v>194</v>
      </c>
      <c r="BB6" s="373"/>
      <c r="BC6" s="220"/>
    </row>
    <row r="7" spans="1:82" ht="24.75" customHeight="1" x14ac:dyDescent="0.15">
      <c r="B7" s="362" t="s">
        <v>79</v>
      </c>
      <c r="C7" s="555" t="s">
        <v>331</v>
      </c>
      <c r="D7" s="343"/>
      <c r="E7" s="343"/>
      <c r="F7" s="343"/>
      <c r="G7" s="588">
        <f t="shared" ref="G7:G14" si="0">SUM(D7:F7)</f>
        <v>0</v>
      </c>
      <c r="H7" s="343">
        <v>23200</v>
      </c>
      <c r="I7" s="343" t="s">
        <v>117</v>
      </c>
      <c r="J7" s="589">
        <f t="shared" ref="J7:J21" si="1">(H7+I7)</f>
        <v>23200</v>
      </c>
      <c r="K7" s="590">
        <v>22</v>
      </c>
      <c r="L7" s="343">
        <v>60759.3</v>
      </c>
      <c r="M7" s="343"/>
      <c r="N7" s="343"/>
      <c r="O7" s="343">
        <v>6</v>
      </c>
      <c r="P7" s="343">
        <v>60000</v>
      </c>
      <c r="Q7" s="343">
        <v>20</v>
      </c>
      <c r="R7" s="591">
        <v>1028000</v>
      </c>
      <c r="S7" s="562" t="s">
        <v>331</v>
      </c>
      <c r="T7" s="234"/>
      <c r="U7" s="362" t="s">
        <v>79</v>
      </c>
      <c r="V7" s="555" t="s">
        <v>344</v>
      </c>
      <c r="W7" s="590">
        <v>3564.018</v>
      </c>
      <c r="X7" s="343"/>
      <c r="Y7" s="343">
        <v>3670.04</v>
      </c>
      <c r="Z7" s="343">
        <v>3383.777</v>
      </c>
      <c r="AA7" s="343"/>
      <c r="AB7" s="343">
        <v>3396.4870000000001</v>
      </c>
      <c r="AC7" s="343">
        <v>26166.971000000001</v>
      </c>
      <c r="AD7" s="343"/>
      <c r="AE7" s="343">
        <v>31535.757000000001</v>
      </c>
      <c r="AF7" s="588">
        <f>((W7+Z7)+AC7)</f>
        <v>33114.766000000003</v>
      </c>
      <c r="AG7" s="588">
        <f t="shared" ref="AF7:AH9" si="2">((X7+AA7)+AD7)</f>
        <v>0</v>
      </c>
      <c r="AH7" s="602">
        <f t="shared" si="2"/>
        <v>38602.284</v>
      </c>
      <c r="AI7" s="562" t="s">
        <v>4</v>
      </c>
      <c r="AJ7" s="234"/>
      <c r="AK7" s="362" t="s">
        <v>79</v>
      </c>
      <c r="AL7" s="555" t="s">
        <v>4</v>
      </c>
      <c r="AM7" s="590"/>
      <c r="AN7" s="343"/>
      <c r="AO7" s="343"/>
      <c r="AP7" s="343"/>
      <c r="AQ7" s="343"/>
      <c r="AR7" s="343"/>
      <c r="AS7" s="606"/>
      <c r="AT7" s="343"/>
      <c r="AU7" s="343"/>
      <c r="AV7" s="607">
        <f t="shared" ref="AV7:AX9" si="3">((AM7+AP7)+AS7)</f>
        <v>0</v>
      </c>
      <c r="AW7" s="588">
        <f t="shared" si="3"/>
        <v>0</v>
      </c>
      <c r="AX7" s="588">
        <f t="shared" si="3"/>
        <v>0</v>
      </c>
      <c r="AY7" s="588">
        <f t="shared" ref="AY7:BA9" si="4">(AF7+AV7)</f>
        <v>33114.766000000003</v>
      </c>
      <c r="AZ7" s="588">
        <f t="shared" si="4"/>
        <v>0</v>
      </c>
      <c r="BA7" s="602">
        <f t="shared" si="4"/>
        <v>38602.284</v>
      </c>
      <c r="BB7" s="555" t="s">
        <v>4</v>
      </c>
      <c r="BC7" s="220"/>
    </row>
    <row r="8" spans="1:82" ht="24.75" customHeight="1" x14ac:dyDescent="0.15">
      <c r="B8" s="363"/>
      <c r="C8" s="563" t="s">
        <v>332</v>
      </c>
      <c r="D8" s="344"/>
      <c r="E8" s="344"/>
      <c r="F8" s="344"/>
      <c r="G8" s="592">
        <f t="shared" si="0"/>
        <v>0</v>
      </c>
      <c r="H8" s="344">
        <v>23000</v>
      </c>
      <c r="I8" s="344"/>
      <c r="J8" s="593">
        <f t="shared" si="1"/>
        <v>23000</v>
      </c>
      <c r="K8" s="594"/>
      <c r="L8" s="344"/>
      <c r="M8" s="344"/>
      <c r="N8" s="344"/>
      <c r="O8" s="344">
        <v>7</v>
      </c>
      <c r="P8" s="344">
        <v>210000</v>
      </c>
      <c r="Q8" s="344">
        <v>12</v>
      </c>
      <c r="R8" s="595">
        <v>313100</v>
      </c>
      <c r="S8" s="132" t="s">
        <v>332</v>
      </c>
      <c r="T8" s="234"/>
      <c r="U8" s="363"/>
      <c r="V8" s="563" t="s">
        <v>343</v>
      </c>
      <c r="W8" s="594"/>
      <c r="X8" s="344"/>
      <c r="Y8" s="344"/>
      <c r="Z8" s="344">
        <v>1640.45</v>
      </c>
      <c r="AA8" s="344"/>
      <c r="AB8" s="344">
        <v>1823.88</v>
      </c>
      <c r="AC8" s="344"/>
      <c r="AD8" s="344"/>
      <c r="AE8" s="344"/>
      <c r="AF8" s="592">
        <f t="shared" si="2"/>
        <v>1640.45</v>
      </c>
      <c r="AG8" s="592">
        <f t="shared" si="2"/>
        <v>0</v>
      </c>
      <c r="AH8" s="603">
        <f>((Y8+AB8)+AE8)</f>
        <v>1823.88</v>
      </c>
      <c r="AI8" s="132" t="s">
        <v>5</v>
      </c>
      <c r="AJ8" s="234"/>
      <c r="AK8" s="363"/>
      <c r="AL8" s="563" t="s">
        <v>5</v>
      </c>
      <c r="AM8" s="594"/>
      <c r="AN8" s="344"/>
      <c r="AO8" s="344"/>
      <c r="AP8" s="344"/>
      <c r="AQ8" s="344"/>
      <c r="AR8" s="344"/>
      <c r="AS8" s="344"/>
      <c r="AT8" s="344"/>
      <c r="AU8" s="344"/>
      <c r="AV8" s="592">
        <f t="shared" si="3"/>
        <v>0</v>
      </c>
      <c r="AW8" s="592">
        <f t="shared" si="3"/>
        <v>0</v>
      </c>
      <c r="AX8" s="592">
        <f t="shared" si="3"/>
        <v>0</v>
      </c>
      <c r="AY8" s="592">
        <f t="shared" si="4"/>
        <v>1640.45</v>
      </c>
      <c r="AZ8" s="592">
        <f t="shared" si="4"/>
        <v>0</v>
      </c>
      <c r="BA8" s="603">
        <f t="shared" si="4"/>
        <v>1823.88</v>
      </c>
      <c r="BB8" s="563" t="s">
        <v>5</v>
      </c>
      <c r="BC8" s="220"/>
    </row>
    <row r="9" spans="1:82" ht="24.75" customHeight="1" x14ac:dyDescent="0.15">
      <c r="B9" s="363"/>
      <c r="C9" s="563" t="s">
        <v>6</v>
      </c>
      <c r="D9" s="344"/>
      <c r="E9" s="344"/>
      <c r="F9" s="344"/>
      <c r="G9" s="592">
        <f t="shared" si="0"/>
        <v>0</v>
      </c>
      <c r="H9" s="344"/>
      <c r="I9" s="344"/>
      <c r="J9" s="593">
        <f t="shared" si="1"/>
        <v>0</v>
      </c>
      <c r="K9" s="594"/>
      <c r="L9" s="344"/>
      <c r="M9" s="344"/>
      <c r="N9" s="344"/>
      <c r="O9" s="344"/>
      <c r="P9" s="344"/>
      <c r="Q9" s="344"/>
      <c r="R9" s="595"/>
      <c r="S9" s="132" t="s">
        <v>6</v>
      </c>
      <c r="T9" s="234"/>
      <c r="U9" s="363"/>
      <c r="V9" s="563" t="s">
        <v>6</v>
      </c>
      <c r="W9" s="594"/>
      <c r="X9" s="344"/>
      <c r="Y9" s="344"/>
      <c r="Z9" s="344"/>
      <c r="AA9" s="344"/>
      <c r="AB9" s="344"/>
      <c r="AC9" s="344"/>
      <c r="AD9" s="344"/>
      <c r="AE9" s="344"/>
      <c r="AF9" s="592">
        <f t="shared" si="2"/>
        <v>0</v>
      </c>
      <c r="AG9" s="592">
        <f t="shared" si="2"/>
        <v>0</v>
      </c>
      <c r="AH9" s="603">
        <f t="shared" si="2"/>
        <v>0</v>
      </c>
      <c r="AI9" s="132" t="s">
        <v>6</v>
      </c>
      <c r="AJ9" s="234"/>
      <c r="AK9" s="363"/>
      <c r="AL9" s="563" t="s">
        <v>6</v>
      </c>
      <c r="AM9" s="594"/>
      <c r="AN9" s="344"/>
      <c r="AO9" s="344"/>
      <c r="AP9" s="344"/>
      <c r="AQ9" s="344"/>
      <c r="AR9" s="344"/>
      <c r="AS9" s="344"/>
      <c r="AT9" s="344"/>
      <c r="AU9" s="344"/>
      <c r="AV9" s="592">
        <f t="shared" si="3"/>
        <v>0</v>
      </c>
      <c r="AW9" s="592">
        <f t="shared" si="3"/>
        <v>0</v>
      </c>
      <c r="AX9" s="592">
        <f t="shared" si="3"/>
        <v>0</v>
      </c>
      <c r="AY9" s="592">
        <f t="shared" si="4"/>
        <v>0</v>
      </c>
      <c r="AZ9" s="592">
        <f t="shared" si="4"/>
        <v>0</v>
      </c>
      <c r="BA9" s="603">
        <f t="shared" si="4"/>
        <v>0</v>
      </c>
      <c r="BB9" s="563" t="s">
        <v>6</v>
      </c>
      <c r="BC9" s="220"/>
    </row>
    <row r="10" spans="1:82" ht="24.75" customHeight="1" x14ac:dyDescent="0.15">
      <c r="B10" s="364"/>
      <c r="C10" s="59" t="s">
        <v>7</v>
      </c>
      <c r="D10" s="345">
        <f>SUM(D7:D9)</f>
        <v>0</v>
      </c>
      <c r="E10" s="345">
        <f>SUM(E7:E9)</f>
        <v>0</v>
      </c>
      <c r="F10" s="345">
        <f>SUM(F7:F9)</f>
        <v>0</v>
      </c>
      <c r="G10" s="345">
        <f t="shared" si="0"/>
        <v>0</v>
      </c>
      <c r="H10" s="345">
        <f>SUM(H7:H9)</f>
        <v>46200</v>
      </c>
      <c r="I10" s="345">
        <f>SUM(I7:I9)</f>
        <v>0</v>
      </c>
      <c r="J10" s="596">
        <f t="shared" si="1"/>
        <v>46200</v>
      </c>
      <c r="K10" s="597">
        <f t="shared" ref="K10:AE10" si="5">SUM(K7:K9)</f>
        <v>22</v>
      </c>
      <c r="L10" s="345">
        <f t="shared" si="5"/>
        <v>60759.3</v>
      </c>
      <c r="M10" s="345">
        <f t="shared" si="5"/>
        <v>0</v>
      </c>
      <c r="N10" s="345">
        <f t="shared" si="5"/>
        <v>0</v>
      </c>
      <c r="O10" s="345">
        <f t="shared" si="5"/>
        <v>13</v>
      </c>
      <c r="P10" s="345">
        <f t="shared" si="5"/>
        <v>270000</v>
      </c>
      <c r="Q10" s="345">
        <f t="shared" si="5"/>
        <v>32</v>
      </c>
      <c r="R10" s="598">
        <f t="shared" si="5"/>
        <v>1341100</v>
      </c>
      <c r="S10" s="133" t="s">
        <v>7</v>
      </c>
      <c r="T10" s="234"/>
      <c r="U10" s="364"/>
      <c r="V10" s="59" t="s">
        <v>7</v>
      </c>
      <c r="W10" s="597">
        <f t="shared" si="5"/>
        <v>3564.018</v>
      </c>
      <c r="X10" s="345">
        <f t="shared" si="5"/>
        <v>0</v>
      </c>
      <c r="Y10" s="345">
        <f t="shared" si="5"/>
        <v>3670.04</v>
      </c>
      <c r="Z10" s="345">
        <f t="shared" si="5"/>
        <v>5024.2269999999999</v>
      </c>
      <c r="AA10" s="345">
        <f t="shared" si="5"/>
        <v>0</v>
      </c>
      <c r="AB10" s="345">
        <f t="shared" si="5"/>
        <v>5220.3670000000002</v>
      </c>
      <c r="AC10" s="345">
        <f t="shared" si="5"/>
        <v>26166.971000000001</v>
      </c>
      <c r="AD10" s="345">
        <f t="shared" si="5"/>
        <v>0</v>
      </c>
      <c r="AE10" s="345">
        <f t="shared" si="5"/>
        <v>31535.757000000001</v>
      </c>
      <c r="AF10" s="345">
        <f t="shared" ref="AF10:AF20" si="6">((W10+Z10)+AC10)</f>
        <v>34755.216</v>
      </c>
      <c r="AG10" s="345">
        <f t="shared" ref="AG10:AG19" si="7">((X10+AA10)+AD10)</f>
        <v>0</v>
      </c>
      <c r="AH10" s="598">
        <f t="shared" ref="AH10:AH19" si="8">((Y10+AB10)+AE10)</f>
        <v>40426.164000000004</v>
      </c>
      <c r="AI10" s="133" t="s">
        <v>7</v>
      </c>
      <c r="AJ10" s="234"/>
      <c r="AK10" s="364"/>
      <c r="AL10" s="59" t="s">
        <v>7</v>
      </c>
      <c r="AM10" s="597">
        <f t="shared" ref="AM10:AU10" si="9">SUM(AM7:AM9)</f>
        <v>0</v>
      </c>
      <c r="AN10" s="345">
        <f t="shared" si="9"/>
        <v>0</v>
      </c>
      <c r="AO10" s="345">
        <f t="shared" si="9"/>
        <v>0</v>
      </c>
      <c r="AP10" s="345">
        <f t="shared" si="9"/>
        <v>0</v>
      </c>
      <c r="AQ10" s="345">
        <f t="shared" si="9"/>
        <v>0</v>
      </c>
      <c r="AR10" s="345">
        <f t="shared" si="9"/>
        <v>0</v>
      </c>
      <c r="AS10" s="345">
        <f t="shared" si="9"/>
        <v>0</v>
      </c>
      <c r="AT10" s="345">
        <f t="shared" si="9"/>
        <v>0</v>
      </c>
      <c r="AU10" s="345">
        <f t="shared" si="9"/>
        <v>0</v>
      </c>
      <c r="AV10" s="345">
        <f t="shared" ref="AV10:AV19" si="10">((AM10+AP10)+AS10)</f>
        <v>0</v>
      </c>
      <c r="AW10" s="345">
        <f t="shared" ref="AW10:AW19" si="11">((AN10+AQ10)+AT10)</f>
        <v>0</v>
      </c>
      <c r="AX10" s="345">
        <f t="shared" ref="AX10:AX19" si="12">((AO10+AR10)+AU10)</f>
        <v>0</v>
      </c>
      <c r="AY10" s="345">
        <f>SUM(AY7:AY9)</f>
        <v>34755.216</v>
      </c>
      <c r="AZ10" s="345">
        <f>SUM(AZ7:AZ9)</f>
        <v>0</v>
      </c>
      <c r="BA10" s="598">
        <f>SUM(BA7:BA9)</f>
        <v>40426.163999999997</v>
      </c>
      <c r="BB10" s="59" t="s">
        <v>7</v>
      </c>
      <c r="BC10" s="220"/>
      <c r="BD10" s="240"/>
      <c r="BE10" s="240"/>
      <c r="BF10" s="240"/>
      <c r="BG10" s="240"/>
      <c r="BH10" s="240"/>
      <c r="BI10" s="240"/>
      <c r="BJ10" s="240"/>
      <c r="BK10" s="240"/>
      <c r="BL10" s="240"/>
      <c r="BM10" s="240"/>
      <c r="BN10" s="240"/>
      <c r="BO10" s="240"/>
      <c r="BP10" s="240"/>
      <c r="BQ10" s="240"/>
      <c r="BR10" s="240"/>
      <c r="BS10" s="240"/>
      <c r="BT10" s="240"/>
      <c r="BU10" s="240"/>
      <c r="BV10" s="240"/>
      <c r="BW10" s="240"/>
      <c r="BX10" s="240"/>
      <c r="BY10" s="240"/>
      <c r="BZ10" s="240"/>
      <c r="CA10" s="240"/>
      <c r="CB10" s="240"/>
      <c r="CC10" s="240"/>
      <c r="CD10" s="240"/>
    </row>
    <row r="11" spans="1:82" ht="24.75" customHeight="1" x14ac:dyDescent="0.15">
      <c r="B11" s="362" t="s">
        <v>83</v>
      </c>
      <c r="C11" s="555" t="s">
        <v>8</v>
      </c>
      <c r="D11" s="343"/>
      <c r="E11" s="343"/>
      <c r="F11" s="343"/>
      <c r="G11" s="588">
        <f t="shared" si="0"/>
        <v>0</v>
      </c>
      <c r="H11" s="343"/>
      <c r="I11" s="343"/>
      <c r="J11" s="589">
        <f t="shared" si="1"/>
        <v>0</v>
      </c>
      <c r="K11" s="590"/>
      <c r="L11" s="343"/>
      <c r="M11" s="343"/>
      <c r="N11" s="343"/>
      <c r="O11" s="343"/>
      <c r="P11" s="343"/>
      <c r="Q11" s="343"/>
      <c r="R11" s="591"/>
      <c r="S11" s="562" t="s">
        <v>8</v>
      </c>
      <c r="T11" s="234"/>
      <c r="U11" s="362" t="s">
        <v>83</v>
      </c>
      <c r="V11" s="555" t="s">
        <v>8</v>
      </c>
      <c r="W11" s="590">
        <v>19047.722000000002</v>
      </c>
      <c r="X11" s="343"/>
      <c r="Y11" s="343">
        <v>20302.598999999998</v>
      </c>
      <c r="Z11" s="343">
        <f>625.162+3420.043+48.07+12951.44</f>
        <v>17044.715</v>
      </c>
      <c r="AA11" s="343"/>
      <c r="AB11" s="343">
        <f>693.414+3522.987+52.03+15023.502</f>
        <v>19291.933000000001</v>
      </c>
      <c r="AC11" s="343"/>
      <c r="AD11" s="343"/>
      <c r="AE11" s="343"/>
      <c r="AF11" s="588">
        <f t="shared" si="6"/>
        <v>36092.437000000005</v>
      </c>
      <c r="AG11" s="588">
        <f t="shared" si="7"/>
        <v>0</v>
      </c>
      <c r="AH11" s="602">
        <f>((Y11+AB11)+AE11)</f>
        <v>39594.531999999999</v>
      </c>
      <c r="AI11" s="562" t="s">
        <v>8</v>
      </c>
      <c r="AJ11" s="234"/>
      <c r="AK11" s="362" t="s">
        <v>83</v>
      </c>
      <c r="AL11" s="555" t="s">
        <v>8</v>
      </c>
      <c r="AM11" s="590"/>
      <c r="AN11" s="343"/>
      <c r="AO11" s="343"/>
      <c r="AP11" s="343"/>
      <c r="AQ11" s="343"/>
      <c r="AR11" s="343"/>
      <c r="AS11" s="343"/>
      <c r="AT11" s="343"/>
      <c r="AU11" s="343"/>
      <c r="AV11" s="588">
        <f t="shared" si="10"/>
        <v>0</v>
      </c>
      <c r="AW11" s="588">
        <f>((AN11+AQ11)+AT11)</f>
        <v>0</v>
      </c>
      <c r="AX11" s="588">
        <f t="shared" si="12"/>
        <v>0</v>
      </c>
      <c r="AY11" s="588">
        <f t="shared" ref="AY11:AY19" si="13">(AF11+AV11)</f>
        <v>36092.437000000005</v>
      </c>
      <c r="AZ11" s="588">
        <f t="shared" ref="AZ11:AZ19" si="14">(AG11+AW11)</f>
        <v>0</v>
      </c>
      <c r="BA11" s="602">
        <f t="shared" ref="BA11:BA19" si="15">(AH11+AX11)</f>
        <v>39594.531999999999</v>
      </c>
      <c r="BB11" s="555" t="s">
        <v>8</v>
      </c>
      <c r="BC11" s="220"/>
    </row>
    <row r="12" spans="1:82" ht="24.75" customHeight="1" x14ac:dyDescent="0.15">
      <c r="A12" s="402" t="s">
        <v>320</v>
      </c>
      <c r="B12" s="363"/>
      <c r="C12" s="563" t="s">
        <v>10</v>
      </c>
      <c r="D12" s="344"/>
      <c r="E12" s="344"/>
      <c r="F12" s="344"/>
      <c r="G12" s="592">
        <f t="shared" si="0"/>
        <v>0</v>
      </c>
      <c r="H12" s="344"/>
      <c r="I12" s="344"/>
      <c r="J12" s="593">
        <f t="shared" si="1"/>
        <v>0</v>
      </c>
      <c r="K12" s="594">
        <v>7</v>
      </c>
      <c r="L12" s="344">
        <v>122000</v>
      </c>
      <c r="M12" s="344">
        <v>1</v>
      </c>
      <c r="N12" s="344">
        <v>5000</v>
      </c>
      <c r="O12" s="344"/>
      <c r="P12" s="344"/>
      <c r="Q12" s="344"/>
      <c r="R12" s="595"/>
      <c r="S12" s="132" t="s">
        <v>10</v>
      </c>
      <c r="T12" s="403" t="s">
        <v>321</v>
      </c>
      <c r="U12" s="363"/>
      <c r="V12" s="563" t="s">
        <v>10</v>
      </c>
      <c r="W12" s="604">
        <v>4220.32</v>
      </c>
      <c r="X12" s="344"/>
      <c r="Y12" s="344">
        <v>4308.87</v>
      </c>
      <c r="Z12" s="344">
        <v>809.41800000000001</v>
      </c>
      <c r="AA12" s="605">
        <v>471.786</v>
      </c>
      <c r="AB12" s="344">
        <v>895.245</v>
      </c>
      <c r="AC12" s="344"/>
      <c r="AD12" s="344"/>
      <c r="AE12" s="344"/>
      <c r="AF12" s="592">
        <f t="shared" si="6"/>
        <v>5029.7379999999994</v>
      </c>
      <c r="AG12" s="592">
        <f t="shared" si="7"/>
        <v>471.786</v>
      </c>
      <c r="AH12" s="603">
        <f t="shared" si="8"/>
        <v>5204.1149999999998</v>
      </c>
      <c r="AI12" s="132" t="s">
        <v>10</v>
      </c>
      <c r="AJ12" s="403" t="s">
        <v>293</v>
      </c>
      <c r="AK12" s="363"/>
      <c r="AL12" s="563" t="s">
        <v>10</v>
      </c>
      <c r="AM12" s="594"/>
      <c r="AN12" s="344"/>
      <c r="AO12" s="344"/>
      <c r="AP12" s="344"/>
      <c r="AQ12" s="344"/>
      <c r="AR12" s="344"/>
      <c r="AS12" s="344"/>
      <c r="AT12" s="344"/>
      <c r="AU12" s="344"/>
      <c r="AV12" s="592">
        <f t="shared" si="10"/>
        <v>0</v>
      </c>
      <c r="AW12" s="592">
        <f t="shared" si="11"/>
        <v>0</v>
      </c>
      <c r="AX12" s="592">
        <f t="shared" si="12"/>
        <v>0</v>
      </c>
      <c r="AY12" s="592">
        <f t="shared" si="13"/>
        <v>5029.7379999999994</v>
      </c>
      <c r="AZ12" s="592">
        <f t="shared" si="14"/>
        <v>471.786</v>
      </c>
      <c r="BA12" s="603">
        <f t="shared" si="15"/>
        <v>5204.1149999999998</v>
      </c>
      <c r="BB12" s="563" t="s">
        <v>10</v>
      </c>
      <c r="BC12" s="220"/>
    </row>
    <row r="13" spans="1:82" ht="24.75" customHeight="1" x14ac:dyDescent="0.15">
      <c r="A13" s="402"/>
      <c r="B13" s="363"/>
      <c r="C13" s="563" t="s">
        <v>262</v>
      </c>
      <c r="D13" s="344"/>
      <c r="E13" s="344"/>
      <c r="F13" s="344"/>
      <c r="G13" s="599">
        <f>SUM(D13:F13)</f>
        <v>0</v>
      </c>
      <c r="H13" s="600"/>
      <c r="I13" s="600"/>
      <c r="J13" s="599">
        <f>SUM(G13:I13)</f>
        <v>0</v>
      </c>
      <c r="K13" s="601">
        <v>1</v>
      </c>
      <c r="L13" s="600">
        <v>1000</v>
      </c>
      <c r="M13" s="344"/>
      <c r="N13" s="344"/>
      <c r="O13" s="344"/>
      <c r="P13" s="344"/>
      <c r="Q13" s="344">
        <v>16</v>
      </c>
      <c r="R13" s="595">
        <v>1444310</v>
      </c>
      <c r="S13" s="132" t="s">
        <v>261</v>
      </c>
      <c r="T13" s="403"/>
      <c r="U13" s="363"/>
      <c r="V13" s="563" t="s">
        <v>261</v>
      </c>
      <c r="W13" s="594"/>
      <c r="X13" s="344"/>
      <c r="Y13" s="344"/>
      <c r="Z13" s="344">
        <f>11702.24+2464.945</f>
        <v>14167.184999999999</v>
      </c>
      <c r="AA13" s="344">
        <v>2464.9450000000002</v>
      </c>
      <c r="AB13" s="344">
        <v>15631.016</v>
      </c>
      <c r="AC13" s="344"/>
      <c r="AD13" s="344"/>
      <c r="AE13" s="344"/>
      <c r="AF13" s="592">
        <f>((W13+Z13)+AC13)</f>
        <v>14167.184999999999</v>
      </c>
      <c r="AG13" s="592">
        <f>((X13+AA13)+AD13)</f>
        <v>2464.9450000000002</v>
      </c>
      <c r="AH13" s="603">
        <f>((Y13+AB13)+AE13)</f>
        <v>15631.016</v>
      </c>
      <c r="AI13" s="132" t="s">
        <v>261</v>
      </c>
      <c r="AJ13" s="403"/>
      <c r="AK13" s="363"/>
      <c r="AL13" s="563" t="s">
        <v>261</v>
      </c>
      <c r="AM13" s="594"/>
      <c r="AN13" s="344"/>
      <c r="AO13" s="344"/>
      <c r="AP13" s="344"/>
      <c r="AQ13" s="344"/>
      <c r="AR13" s="344"/>
      <c r="AS13" s="344"/>
      <c r="AT13" s="344"/>
      <c r="AU13" s="344"/>
      <c r="AV13" s="592">
        <f>((AM13+AP13)+AS13)</f>
        <v>0</v>
      </c>
      <c r="AW13" s="592">
        <f t="shared" si="11"/>
        <v>0</v>
      </c>
      <c r="AX13" s="592">
        <f t="shared" si="12"/>
        <v>0</v>
      </c>
      <c r="AY13" s="592">
        <f t="shared" si="13"/>
        <v>14167.184999999999</v>
      </c>
      <c r="AZ13" s="592">
        <f t="shared" si="14"/>
        <v>2464.9450000000002</v>
      </c>
      <c r="BA13" s="603">
        <f t="shared" si="15"/>
        <v>15631.016</v>
      </c>
      <c r="BB13" s="563" t="s">
        <v>261</v>
      </c>
      <c r="BC13" s="220"/>
    </row>
    <row r="14" spans="1:82" ht="24.75" customHeight="1" x14ac:dyDescent="0.15">
      <c r="A14" s="402"/>
      <c r="B14" s="363"/>
      <c r="C14" s="563" t="s">
        <v>333</v>
      </c>
      <c r="D14" s="344"/>
      <c r="E14" s="344"/>
      <c r="F14" s="344"/>
      <c r="G14" s="592">
        <f t="shared" si="0"/>
        <v>0</v>
      </c>
      <c r="H14" s="344"/>
      <c r="I14" s="344"/>
      <c r="J14" s="593">
        <f t="shared" si="1"/>
        <v>0</v>
      </c>
      <c r="K14" s="594"/>
      <c r="L14" s="344"/>
      <c r="M14" s="344"/>
      <c r="N14" s="344"/>
      <c r="O14" s="344"/>
      <c r="P14" s="344"/>
      <c r="Q14" s="344"/>
      <c r="R14" s="595"/>
      <c r="S14" s="132" t="s">
        <v>333</v>
      </c>
      <c r="T14" s="403"/>
      <c r="U14" s="363"/>
      <c r="V14" s="563" t="s">
        <v>345</v>
      </c>
      <c r="W14" s="594"/>
      <c r="X14" s="344"/>
      <c r="Y14" s="344"/>
      <c r="Z14" s="344">
        <v>163.86799999999999</v>
      </c>
      <c r="AA14" s="344"/>
      <c r="AB14" s="344">
        <v>187.30500000000001</v>
      </c>
      <c r="AC14" s="344"/>
      <c r="AD14" s="344"/>
      <c r="AE14" s="344"/>
      <c r="AF14" s="592">
        <f>((W14+Z14)+AC14)</f>
        <v>163.86799999999999</v>
      </c>
      <c r="AG14" s="592">
        <f t="shared" si="7"/>
        <v>0</v>
      </c>
      <c r="AH14" s="603">
        <f t="shared" si="8"/>
        <v>187.30500000000001</v>
      </c>
      <c r="AI14" s="132" t="s">
        <v>12</v>
      </c>
      <c r="AJ14" s="403"/>
      <c r="AK14" s="363"/>
      <c r="AL14" s="563" t="s">
        <v>12</v>
      </c>
      <c r="AM14" s="600"/>
      <c r="AN14" s="600"/>
      <c r="AO14" s="344"/>
      <c r="AP14" s="344"/>
      <c r="AQ14" s="344"/>
      <c r="AR14" s="344"/>
      <c r="AS14" s="344"/>
      <c r="AT14" s="344"/>
      <c r="AU14" s="344"/>
      <c r="AV14" s="592">
        <f t="shared" si="10"/>
        <v>0</v>
      </c>
      <c r="AW14" s="592">
        <f t="shared" si="11"/>
        <v>0</v>
      </c>
      <c r="AX14" s="592">
        <f t="shared" si="12"/>
        <v>0</v>
      </c>
      <c r="AY14" s="592">
        <f t="shared" si="13"/>
        <v>163.86799999999999</v>
      </c>
      <c r="AZ14" s="592">
        <f t="shared" si="14"/>
        <v>0</v>
      </c>
      <c r="BA14" s="603">
        <f t="shared" si="15"/>
        <v>187.30500000000001</v>
      </c>
      <c r="BB14" s="563" t="s">
        <v>12</v>
      </c>
      <c r="BC14" s="220"/>
    </row>
    <row r="15" spans="1:82" ht="24.75" customHeight="1" x14ac:dyDescent="0.15">
      <c r="B15" s="364"/>
      <c r="C15" s="59" t="s">
        <v>118</v>
      </c>
      <c r="D15" s="345">
        <f t="shared" ref="D15:AE15" si="16">SUM(D11:D14)</f>
        <v>0</v>
      </c>
      <c r="E15" s="345">
        <f t="shared" si="16"/>
        <v>0</v>
      </c>
      <c r="F15" s="345">
        <f t="shared" si="16"/>
        <v>0</v>
      </c>
      <c r="G15" s="345">
        <f t="shared" si="16"/>
        <v>0</v>
      </c>
      <c r="H15" s="345">
        <f t="shared" si="16"/>
        <v>0</v>
      </c>
      <c r="I15" s="345">
        <f t="shared" si="16"/>
        <v>0</v>
      </c>
      <c r="J15" s="596">
        <f t="shared" si="1"/>
        <v>0</v>
      </c>
      <c r="K15" s="597">
        <f t="shared" si="16"/>
        <v>8</v>
      </c>
      <c r="L15" s="345">
        <f t="shared" si="16"/>
        <v>123000</v>
      </c>
      <c r="M15" s="345">
        <f t="shared" si="16"/>
        <v>1</v>
      </c>
      <c r="N15" s="345">
        <f t="shared" si="16"/>
        <v>5000</v>
      </c>
      <c r="O15" s="345">
        <f t="shared" si="16"/>
        <v>0</v>
      </c>
      <c r="P15" s="345">
        <f t="shared" si="16"/>
        <v>0</v>
      </c>
      <c r="Q15" s="345">
        <f t="shared" si="16"/>
        <v>16</v>
      </c>
      <c r="R15" s="598">
        <f t="shared" si="16"/>
        <v>1444310</v>
      </c>
      <c r="S15" s="133" t="s">
        <v>118</v>
      </c>
      <c r="T15" s="234"/>
      <c r="U15" s="364"/>
      <c r="V15" s="59" t="s">
        <v>118</v>
      </c>
      <c r="W15" s="597">
        <f t="shared" si="16"/>
        <v>23268.042000000001</v>
      </c>
      <c r="X15" s="345">
        <f t="shared" si="16"/>
        <v>0</v>
      </c>
      <c r="Y15" s="345">
        <f t="shared" si="16"/>
        <v>24611.468999999997</v>
      </c>
      <c r="Z15" s="345">
        <f t="shared" si="16"/>
        <v>32185.185999999998</v>
      </c>
      <c r="AA15" s="345">
        <f t="shared" si="16"/>
        <v>2936.7310000000002</v>
      </c>
      <c r="AB15" s="345">
        <f t="shared" si="16"/>
        <v>36005.499000000003</v>
      </c>
      <c r="AC15" s="345">
        <f t="shared" si="16"/>
        <v>0</v>
      </c>
      <c r="AD15" s="345">
        <f t="shared" si="16"/>
        <v>0</v>
      </c>
      <c r="AE15" s="345">
        <f t="shared" si="16"/>
        <v>0</v>
      </c>
      <c r="AF15" s="345">
        <f t="shared" si="6"/>
        <v>55453.228000000003</v>
      </c>
      <c r="AG15" s="345">
        <f t="shared" si="7"/>
        <v>2936.7310000000002</v>
      </c>
      <c r="AH15" s="598">
        <f t="shared" si="8"/>
        <v>60616.968000000001</v>
      </c>
      <c r="AI15" s="133" t="s">
        <v>118</v>
      </c>
      <c r="AJ15" s="234"/>
      <c r="AK15" s="364"/>
      <c r="AL15" s="59" t="s">
        <v>118</v>
      </c>
      <c r="AM15" s="597">
        <f t="shared" ref="AM15:AU15" si="17">SUM(AM11:AM14)</f>
        <v>0</v>
      </c>
      <c r="AN15" s="345">
        <f>SUM(AN11:AN14)</f>
        <v>0</v>
      </c>
      <c r="AO15" s="345">
        <f t="shared" si="17"/>
        <v>0</v>
      </c>
      <c r="AP15" s="345">
        <f t="shared" si="17"/>
        <v>0</v>
      </c>
      <c r="AQ15" s="345">
        <f t="shared" si="17"/>
        <v>0</v>
      </c>
      <c r="AR15" s="345">
        <f t="shared" si="17"/>
        <v>0</v>
      </c>
      <c r="AS15" s="345">
        <f t="shared" si="17"/>
        <v>0</v>
      </c>
      <c r="AT15" s="345">
        <f t="shared" si="17"/>
        <v>0</v>
      </c>
      <c r="AU15" s="345">
        <f t="shared" si="17"/>
        <v>0</v>
      </c>
      <c r="AV15" s="345">
        <f t="shared" si="10"/>
        <v>0</v>
      </c>
      <c r="AW15" s="345">
        <f t="shared" si="11"/>
        <v>0</v>
      </c>
      <c r="AX15" s="345">
        <f t="shared" si="12"/>
        <v>0</v>
      </c>
      <c r="AY15" s="345">
        <f>SUM(AY11:AY14)</f>
        <v>55453.228000000003</v>
      </c>
      <c r="AZ15" s="345">
        <f>SUM(AZ11:AZ14)</f>
        <v>2936.7310000000002</v>
      </c>
      <c r="BA15" s="598">
        <f>SUM(BA11:BA14)</f>
        <v>60616.968000000001</v>
      </c>
      <c r="BB15" s="59" t="s">
        <v>118</v>
      </c>
      <c r="BC15" s="220"/>
      <c r="BD15" s="240"/>
      <c r="BE15" s="240"/>
      <c r="BF15" s="240"/>
      <c r="BG15" s="240"/>
      <c r="BH15" s="240"/>
      <c r="BI15" s="240"/>
      <c r="BJ15" s="240"/>
    </row>
    <row r="16" spans="1:82" ht="24.75" customHeight="1" x14ac:dyDescent="0.15">
      <c r="B16" s="362" t="s">
        <v>177</v>
      </c>
      <c r="C16" s="555" t="s">
        <v>259</v>
      </c>
      <c r="D16" s="343"/>
      <c r="E16" s="343"/>
      <c r="F16" s="343"/>
      <c r="G16" s="588">
        <f>SUM(D16:F16)</f>
        <v>0</v>
      </c>
      <c r="H16" s="343"/>
      <c r="I16" s="343"/>
      <c r="J16" s="588">
        <f>SUM(G16:I16)</f>
        <v>0</v>
      </c>
      <c r="K16" s="590"/>
      <c r="L16" s="343"/>
      <c r="M16" s="343"/>
      <c r="N16" s="343"/>
      <c r="O16" s="343"/>
      <c r="P16" s="343"/>
      <c r="Q16" s="343"/>
      <c r="R16" s="591"/>
      <c r="S16" s="562" t="s">
        <v>259</v>
      </c>
      <c r="T16" s="234"/>
      <c r="U16" s="362" t="s">
        <v>177</v>
      </c>
      <c r="V16" s="555" t="s">
        <v>259</v>
      </c>
      <c r="W16" s="590"/>
      <c r="X16" s="343"/>
      <c r="Y16" s="343"/>
      <c r="Z16" s="343"/>
      <c r="AA16" s="343"/>
      <c r="AB16" s="343"/>
      <c r="AC16" s="343">
        <v>6410.4480000000003</v>
      </c>
      <c r="AD16" s="343">
        <v>290.44799999999998</v>
      </c>
      <c r="AE16" s="343">
        <v>6591.4679999999998</v>
      </c>
      <c r="AF16" s="588">
        <f>((W16+Z16)+AC16)</f>
        <v>6410.4480000000003</v>
      </c>
      <c r="AG16" s="588">
        <f t="shared" si="7"/>
        <v>290.44799999999998</v>
      </c>
      <c r="AH16" s="602">
        <f t="shared" si="8"/>
        <v>6591.4679999999998</v>
      </c>
      <c r="AI16" s="562" t="s">
        <v>260</v>
      </c>
      <c r="AJ16" s="234"/>
      <c r="AK16" s="362" t="s">
        <v>177</v>
      </c>
      <c r="AL16" s="555" t="s">
        <v>259</v>
      </c>
      <c r="AM16" s="590"/>
      <c r="AN16" s="343"/>
      <c r="AO16" s="343"/>
      <c r="AP16" s="343"/>
      <c r="AQ16" s="343"/>
      <c r="AR16" s="343"/>
      <c r="AS16" s="343"/>
      <c r="AT16" s="343"/>
      <c r="AU16" s="343"/>
      <c r="AV16" s="588">
        <f t="shared" si="10"/>
        <v>0</v>
      </c>
      <c r="AW16" s="588">
        <f t="shared" si="11"/>
        <v>0</v>
      </c>
      <c r="AX16" s="588">
        <f t="shared" si="12"/>
        <v>0</v>
      </c>
      <c r="AY16" s="588">
        <f t="shared" si="13"/>
        <v>6410.4480000000003</v>
      </c>
      <c r="AZ16" s="588">
        <f t="shared" si="14"/>
        <v>290.44799999999998</v>
      </c>
      <c r="BA16" s="602">
        <f t="shared" si="15"/>
        <v>6591.4679999999998</v>
      </c>
      <c r="BB16" s="555" t="s">
        <v>259</v>
      </c>
      <c r="BC16" s="220"/>
    </row>
    <row r="17" spans="1:259" ht="24.75" customHeight="1" x14ac:dyDescent="0.15">
      <c r="B17" s="363"/>
      <c r="C17" s="563" t="s">
        <v>199</v>
      </c>
      <c r="D17" s="344"/>
      <c r="E17" s="344"/>
      <c r="F17" s="344"/>
      <c r="G17" s="592">
        <f>SUM(D17:F17)</f>
        <v>0</v>
      </c>
      <c r="H17" s="344"/>
      <c r="I17" s="344"/>
      <c r="J17" s="593">
        <f t="shared" si="1"/>
        <v>0</v>
      </c>
      <c r="K17" s="594">
        <v>2</v>
      </c>
      <c r="L17" s="344">
        <v>2000</v>
      </c>
      <c r="M17" s="344"/>
      <c r="N17" s="344"/>
      <c r="O17" s="344"/>
      <c r="P17" s="344"/>
      <c r="Q17" s="344">
        <v>17</v>
      </c>
      <c r="R17" s="595">
        <v>1802050</v>
      </c>
      <c r="S17" s="132" t="s">
        <v>263</v>
      </c>
      <c r="T17" s="234"/>
      <c r="U17" s="363"/>
      <c r="V17" s="563" t="s">
        <v>257</v>
      </c>
      <c r="W17" s="594"/>
      <c r="X17" s="344"/>
      <c r="Y17" s="344"/>
      <c r="Z17" s="344"/>
      <c r="AA17" s="344"/>
      <c r="AB17" s="344">
        <v>4152.8649999999998</v>
      </c>
      <c r="AC17" s="344"/>
      <c r="AD17" s="344"/>
      <c r="AE17" s="344"/>
      <c r="AF17" s="592">
        <f t="shared" si="6"/>
        <v>0</v>
      </c>
      <c r="AG17" s="592">
        <f t="shared" si="7"/>
        <v>0</v>
      </c>
      <c r="AH17" s="603">
        <f t="shared" si="8"/>
        <v>4152.8649999999998</v>
      </c>
      <c r="AI17" s="132" t="s">
        <v>257</v>
      </c>
      <c r="AJ17" s="234"/>
      <c r="AK17" s="363"/>
      <c r="AL17" s="563" t="s">
        <v>257</v>
      </c>
      <c r="AM17" s="594"/>
      <c r="AN17" s="344"/>
      <c r="AO17" s="344"/>
      <c r="AP17" s="608" t="s">
        <v>1</v>
      </c>
      <c r="AQ17" s="608" t="s">
        <v>1</v>
      </c>
      <c r="AR17" s="608" t="s">
        <v>1</v>
      </c>
      <c r="AS17" s="608" t="s">
        <v>1</v>
      </c>
      <c r="AT17" s="344"/>
      <c r="AU17" s="344"/>
      <c r="AV17" s="592">
        <f t="shared" si="10"/>
        <v>0</v>
      </c>
      <c r="AW17" s="592">
        <f t="shared" si="11"/>
        <v>0</v>
      </c>
      <c r="AX17" s="592">
        <f t="shared" si="12"/>
        <v>0</v>
      </c>
      <c r="AY17" s="592">
        <f t="shared" si="13"/>
        <v>0</v>
      </c>
      <c r="AZ17" s="592">
        <f t="shared" si="14"/>
        <v>0</v>
      </c>
      <c r="BA17" s="603">
        <f t="shared" si="15"/>
        <v>4152.8649999999998</v>
      </c>
      <c r="BB17" s="563" t="s">
        <v>257</v>
      </c>
      <c r="BC17" s="220"/>
    </row>
    <row r="18" spans="1:259" ht="24.75" customHeight="1" x14ac:dyDescent="0.15">
      <c r="B18" s="363"/>
      <c r="C18" s="563" t="s">
        <v>334</v>
      </c>
      <c r="D18" s="344"/>
      <c r="E18" s="344"/>
      <c r="F18" s="344"/>
      <c r="G18" s="592">
        <f>SUM(D18:F18)</f>
        <v>0</v>
      </c>
      <c r="H18" s="344"/>
      <c r="I18" s="344"/>
      <c r="J18" s="593">
        <f t="shared" si="1"/>
        <v>0</v>
      </c>
      <c r="K18" s="594"/>
      <c r="L18" s="344"/>
      <c r="M18" s="344"/>
      <c r="N18" s="344"/>
      <c r="O18" s="344"/>
      <c r="P18" s="344"/>
      <c r="Q18" s="344"/>
      <c r="R18" s="595"/>
      <c r="S18" s="132" t="s">
        <v>334</v>
      </c>
      <c r="T18" s="234"/>
      <c r="U18" s="363"/>
      <c r="V18" s="563" t="s">
        <v>14</v>
      </c>
      <c r="W18" s="594"/>
      <c r="X18" s="344"/>
      <c r="Y18" s="344"/>
      <c r="Z18" s="344"/>
      <c r="AA18" s="344"/>
      <c r="AB18" s="344"/>
      <c r="AC18" s="344"/>
      <c r="AD18" s="344"/>
      <c r="AE18" s="344"/>
      <c r="AF18" s="592">
        <f t="shared" si="6"/>
        <v>0</v>
      </c>
      <c r="AG18" s="592">
        <f t="shared" si="7"/>
        <v>0</v>
      </c>
      <c r="AH18" s="603">
        <f t="shared" si="8"/>
        <v>0</v>
      </c>
      <c r="AI18" s="132" t="s">
        <v>14</v>
      </c>
      <c r="AJ18" s="234"/>
      <c r="AK18" s="363"/>
      <c r="AL18" s="563" t="s">
        <v>14</v>
      </c>
      <c r="AM18" s="594"/>
      <c r="AN18" s="344"/>
      <c r="AO18" s="344"/>
      <c r="AP18" s="344"/>
      <c r="AQ18" s="344"/>
      <c r="AR18" s="344"/>
      <c r="AS18" s="344"/>
      <c r="AT18" s="344"/>
      <c r="AU18" s="344"/>
      <c r="AV18" s="592">
        <f t="shared" si="10"/>
        <v>0</v>
      </c>
      <c r="AW18" s="592">
        <f t="shared" si="11"/>
        <v>0</v>
      </c>
      <c r="AX18" s="592">
        <f t="shared" si="12"/>
        <v>0</v>
      </c>
      <c r="AY18" s="592">
        <f t="shared" si="13"/>
        <v>0</v>
      </c>
      <c r="AZ18" s="592">
        <f t="shared" si="14"/>
        <v>0</v>
      </c>
      <c r="BA18" s="603">
        <f t="shared" si="15"/>
        <v>0</v>
      </c>
      <c r="BB18" s="563" t="s">
        <v>14</v>
      </c>
      <c r="BC18" s="220"/>
    </row>
    <row r="19" spans="1:259" s="305" customFormat="1" ht="24.75" customHeight="1" x14ac:dyDescent="0.15">
      <c r="A19" s="304"/>
      <c r="B19" s="363"/>
      <c r="C19" s="563" t="s">
        <v>335</v>
      </c>
      <c r="D19" s="344"/>
      <c r="E19" s="344"/>
      <c r="F19" s="344"/>
      <c r="G19" s="592">
        <f>SUM(D19:F19)</f>
        <v>0</v>
      </c>
      <c r="H19" s="344"/>
      <c r="I19" s="344"/>
      <c r="J19" s="593">
        <f t="shared" si="1"/>
        <v>0</v>
      </c>
      <c r="K19" s="594"/>
      <c r="L19" s="344"/>
      <c r="M19" s="344"/>
      <c r="N19" s="344"/>
      <c r="O19" s="344"/>
      <c r="P19" s="344"/>
      <c r="Q19" s="344"/>
      <c r="R19" s="595"/>
      <c r="S19" s="132" t="s">
        <v>335</v>
      </c>
      <c r="T19" s="234"/>
      <c r="U19" s="363"/>
      <c r="V19" s="563" t="s">
        <v>15</v>
      </c>
      <c r="W19" s="594"/>
      <c r="X19" s="344"/>
      <c r="Y19" s="344"/>
      <c r="Z19" s="344">
        <v>167384</v>
      </c>
      <c r="AA19" s="344"/>
      <c r="AB19" s="344">
        <v>211698</v>
      </c>
      <c r="AC19" s="344"/>
      <c r="AD19" s="344"/>
      <c r="AE19" s="344"/>
      <c r="AF19" s="592">
        <f t="shared" si="6"/>
        <v>167384</v>
      </c>
      <c r="AG19" s="592">
        <f t="shared" si="7"/>
        <v>0</v>
      </c>
      <c r="AH19" s="603">
        <f t="shared" si="8"/>
        <v>211698</v>
      </c>
      <c r="AI19" s="132" t="s">
        <v>15</v>
      </c>
      <c r="AJ19" s="234"/>
      <c r="AK19" s="363"/>
      <c r="AL19" s="563" t="s">
        <v>15</v>
      </c>
      <c r="AM19" s="594"/>
      <c r="AN19" s="344"/>
      <c r="AO19" s="344"/>
      <c r="AP19" s="344"/>
      <c r="AQ19" s="344"/>
      <c r="AR19" s="344"/>
      <c r="AS19" s="344"/>
      <c r="AT19" s="344"/>
      <c r="AU19" s="344"/>
      <c r="AV19" s="592">
        <f t="shared" si="10"/>
        <v>0</v>
      </c>
      <c r="AW19" s="592">
        <f t="shared" si="11"/>
        <v>0</v>
      </c>
      <c r="AX19" s="592">
        <f t="shared" si="12"/>
        <v>0</v>
      </c>
      <c r="AY19" s="592">
        <f t="shared" si="13"/>
        <v>167384</v>
      </c>
      <c r="AZ19" s="592">
        <f t="shared" si="14"/>
        <v>0</v>
      </c>
      <c r="BA19" s="603">
        <f t="shared" si="15"/>
        <v>211698</v>
      </c>
      <c r="BB19" s="563" t="s">
        <v>15</v>
      </c>
      <c r="BC19" s="220"/>
      <c r="BD19" s="219"/>
      <c r="BE19" s="219"/>
      <c r="BF19" s="219"/>
      <c r="BG19" s="219"/>
      <c r="BH19" s="219"/>
      <c r="BI19" s="219"/>
      <c r="BJ19" s="219"/>
      <c r="BK19" s="219"/>
      <c r="BL19" s="219"/>
      <c r="BM19" s="219"/>
      <c r="BN19" s="219"/>
      <c r="BO19" s="219"/>
      <c r="BP19" s="219"/>
      <c r="BQ19" s="219"/>
      <c r="BR19" s="219"/>
      <c r="BS19" s="219"/>
      <c r="BT19" s="219"/>
      <c r="BU19" s="219"/>
      <c r="BV19" s="219"/>
      <c r="BW19" s="219"/>
      <c r="BX19" s="219"/>
      <c r="BY19" s="219"/>
      <c r="BZ19" s="219"/>
      <c r="CA19" s="219"/>
      <c r="CB19" s="219"/>
      <c r="CC19" s="219"/>
      <c r="CD19" s="219"/>
      <c r="CE19" s="219"/>
      <c r="CF19" s="219"/>
      <c r="CG19" s="219"/>
      <c r="CH19" s="219"/>
      <c r="CI19" s="219"/>
      <c r="CJ19" s="219"/>
      <c r="CK19" s="219"/>
      <c r="CL19" s="219"/>
      <c r="CM19" s="219"/>
      <c r="CN19" s="219"/>
      <c r="CO19" s="219"/>
      <c r="CP19" s="219"/>
      <c r="CQ19" s="219"/>
      <c r="CR19" s="219"/>
      <c r="CS19" s="219"/>
      <c r="CT19" s="219"/>
      <c r="CU19" s="219"/>
      <c r="CV19" s="219"/>
      <c r="CW19" s="219"/>
      <c r="CX19" s="219"/>
      <c r="CY19" s="219"/>
      <c r="CZ19" s="219"/>
      <c r="DA19" s="219"/>
      <c r="DB19" s="219"/>
      <c r="DC19" s="219"/>
      <c r="DD19" s="219"/>
      <c r="DE19" s="219"/>
      <c r="DF19" s="219"/>
      <c r="DG19" s="219"/>
      <c r="DH19" s="219"/>
      <c r="DI19" s="219"/>
      <c r="DJ19" s="219"/>
      <c r="DK19" s="219"/>
      <c r="DL19" s="219"/>
      <c r="DM19" s="219"/>
      <c r="DN19" s="219"/>
      <c r="DO19" s="219"/>
      <c r="DP19" s="219"/>
      <c r="DQ19" s="219"/>
      <c r="DR19" s="219"/>
      <c r="DS19" s="219"/>
      <c r="DT19" s="219"/>
      <c r="DU19" s="219"/>
      <c r="DV19" s="219"/>
      <c r="DW19" s="219"/>
      <c r="DX19" s="219"/>
      <c r="DY19" s="219"/>
      <c r="DZ19" s="219"/>
      <c r="EA19" s="219"/>
      <c r="EB19" s="219"/>
      <c r="EC19" s="219"/>
      <c r="ED19" s="219"/>
      <c r="EE19" s="219"/>
      <c r="EF19" s="219"/>
      <c r="EG19" s="219"/>
      <c r="EH19" s="219"/>
      <c r="EI19" s="219"/>
      <c r="EJ19" s="219"/>
      <c r="EK19" s="219"/>
      <c r="EL19" s="219"/>
      <c r="EM19" s="219"/>
      <c r="EN19" s="219"/>
      <c r="EO19" s="219"/>
      <c r="EP19" s="219"/>
      <c r="EQ19" s="219"/>
      <c r="ER19" s="219"/>
      <c r="ES19" s="219"/>
      <c r="ET19" s="219"/>
      <c r="EU19" s="219"/>
      <c r="EV19" s="219"/>
      <c r="EW19" s="219"/>
      <c r="EX19" s="219"/>
      <c r="EY19" s="219"/>
      <c r="EZ19" s="219"/>
      <c r="FA19" s="219"/>
      <c r="FB19" s="219"/>
      <c r="FC19" s="219"/>
      <c r="FD19" s="219"/>
      <c r="FE19" s="219"/>
      <c r="FF19" s="219"/>
      <c r="FG19" s="219"/>
      <c r="FH19" s="219"/>
      <c r="FI19" s="219"/>
      <c r="FJ19" s="219"/>
      <c r="FK19" s="219"/>
      <c r="FL19" s="219"/>
      <c r="FM19" s="219"/>
      <c r="FN19" s="219"/>
      <c r="FO19" s="219"/>
      <c r="FP19" s="219"/>
      <c r="FQ19" s="219"/>
      <c r="FR19" s="219"/>
      <c r="FS19" s="219"/>
      <c r="FT19" s="219"/>
      <c r="FU19" s="219"/>
      <c r="FV19" s="219"/>
      <c r="FW19" s="219"/>
      <c r="FX19" s="219"/>
      <c r="FY19" s="219"/>
      <c r="FZ19" s="219"/>
      <c r="GA19" s="219"/>
      <c r="GB19" s="219"/>
      <c r="GC19" s="219"/>
      <c r="GD19" s="219"/>
      <c r="GE19" s="219"/>
      <c r="GF19" s="219"/>
      <c r="GG19" s="219"/>
      <c r="GH19" s="219"/>
      <c r="GI19" s="219"/>
      <c r="GJ19" s="219"/>
      <c r="GK19" s="219"/>
      <c r="GL19" s="219"/>
      <c r="GM19" s="219"/>
      <c r="GN19" s="219"/>
      <c r="GO19" s="219"/>
      <c r="GP19" s="219"/>
      <c r="GQ19" s="219"/>
      <c r="GR19" s="219"/>
      <c r="GS19" s="219"/>
      <c r="GT19" s="219"/>
      <c r="GU19" s="219"/>
      <c r="GV19" s="219"/>
      <c r="GW19" s="219"/>
      <c r="GX19" s="219"/>
      <c r="GY19" s="219"/>
      <c r="GZ19" s="219"/>
      <c r="HA19" s="219"/>
      <c r="HB19" s="219"/>
      <c r="HC19" s="219"/>
      <c r="HD19" s="219"/>
      <c r="HE19" s="219"/>
      <c r="HF19" s="219"/>
      <c r="HG19" s="219"/>
      <c r="HH19" s="219"/>
      <c r="HI19" s="219"/>
      <c r="HJ19" s="219"/>
      <c r="HK19" s="219"/>
      <c r="HL19" s="219"/>
      <c r="HM19" s="219"/>
      <c r="HN19" s="219"/>
      <c r="HO19" s="219"/>
      <c r="HP19" s="219"/>
      <c r="HQ19" s="219"/>
      <c r="HR19" s="219"/>
      <c r="HS19" s="219"/>
      <c r="HT19" s="219"/>
      <c r="HU19" s="219"/>
      <c r="HV19" s="219"/>
      <c r="HW19" s="219"/>
      <c r="HX19" s="219"/>
      <c r="HY19" s="219"/>
      <c r="HZ19" s="219"/>
      <c r="IA19" s="219"/>
      <c r="IB19" s="219"/>
      <c r="IC19" s="219"/>
      <c r="ID19" s="219"/>
      <c r="IE19" s="219"/>
      <c r="IF19" s="219"/>
      <c r="IG19" s="219"/>
      <c r="IH19" s="219"/>
      <c r="II19" s="219"/>
      <c r="IJ19" s="219"/>
      <c r="IK19" s="219"/>
      <c r="IL19" s="219"/>
      <c r="IM19" s="219"/>
      <c r="IN19" s="219"/>
      <c r="IO19" s="219"/>
      <c r="IP19" s="219"/>
      <c r="IQ19" s="219"/>
      <c r="IR19" s="219"/>
      <c r="IS19" s="219"/>
      <c r="IT19" s="219"/>
      <c r="IU19" s="219"/>
      <c r="IV19" s="219"/>
      <c r="IW19" s="219"/>
      <c r="IX19" s="219"/>
      <c r="IY19" s="219"/>
    </row>
    <row r="20" spans="1:259" ht="24.75" customHeight="1" x14ac:dyDescent="0.15">
      <c r="B20" s="364"/>
      <c r="C20" s="306" t="s">
        <v>178</v>
      </c>
      <c r="D20" s="307">
        <f t="shared" ref="D20:BA20" si="18">SUM(D16:D19)</f>
        <v>0</v>
      </c>
      <c r="E20" s="307">
        <f t="shared" si="18"/>
        <v>0</v>
      </c>
      <c r="F20" s="307">
        <f t="shared" si="18"/>
        <v>0</v>
      </c>
      <c r="G20" s="307">
        <f t="shared" si="18"/>
        <v>0</v>
      </c>
      <c r="H20" s="307">
        <f t="shared" si="18"/>
        <v>0</v>
      </c>
      <c r="I20" s="307">
        <f t="shared" si="18"/>
        <v>0</v>
      </c>
      <c r="J20" s="308">
        <f t="shared" si="1"/>
        <v>0</v>
      </c>
      <c r="K20" s="309">
        <f t="shared" si="18"/>
        <v>2</v>
      </c>
      <c r="L20" s="307">
        <f t="shared" si="18"/>
        <v>2000</v>
      </c>
      <c r="M20" s="307">
        <f t="shared" si="18"/>
        <v>0</v>
      </c>
      <c r="N20" s="307">
        <f t="shared" si="18"/>
        <v>0</v>
      </c>
      <c r="O20" s="307">
        <f t="shared" si="18"/>
        <v>0</v>
      </c>
      <c r="P20" s="307">
        <f t="shared" si="18"/>
        <v>0</v>
      </c>
      <c r="Q20" s="307">
        <f t="shared" si="18"/>
        <v>17</v>
      </c>
      <c r="R20" s="310">
        <f t="shared" si="18"/>
        <v>1802050</v>
      </c>
      <c r="S20" s="311" t="s">
        <v>178</v>
      </c>
      <c r="T20" s="234"/>
      <c r="U20" s="364"/>
      <c r="V20" s="306" t="s">
        <v>178</v>
      </c>
      <c r="W20" s="309">
        <f t="shared" si="18"/>
        <v>0</v>
      </c>
      <c r="X20" s="307">
        <f t="shared" si="18"/>
        <v>0</v>
      </c>
      <c r="Y20" s="307">
        <f t="shared" si="18"/>
        <v>0</v>
      </c>
      <c r="Z20" s="307">
        <f t="shared" si="18"/>
        <v>167384</v>
      </c>
      <c r="AA20" s="307">
        <f t="shared" si="18"/>
        <v>0</v>
      </c>
      <c r="AB20" s="307">
        <f>SUM(AB16:AB19)</f>
        <v>215850.86499999999</v>
      </c>
      <c r="AC20" s="307">
        <f t="shared" si="18"/>
        <v>6410.4480000000003</v>
      </c>
      <c r="AD20" s="307">
        <f t="shared" si="18"/>
        <v>290.44799999999998</v>
      </c>
      <c r="AE20" s="307">
        <f t="shared" si="18"/>
        <v>6591.4679999999998</v>
      </c>
      <c r="AF20" s="307">
        <f t="shared" si="6"/>
        <v>173794.448</v>
      </c>
      <c r="AG20" s="307">
        <f t="shared" si="18"/>
        <v>290.44799999999998</v>
      </c>
      <c r="AH20" s="310">
        <f t="shared" si="18"/>
        <v>222442.33299999998</v>
      </c>
      <c r="AI20" s="311" t="s">
        <v>178</v>
      </c>
      <c r="AJ20" s="234"/>
      <c r="AK20" s="364"/>
      <c r="AL20" s="306" t="s">
        <v>178</v>
      </c>
      <c r="AM20" s="309">
        <f t="shared" si="18"/>
        <v>0</v>
      </c>
      <c r="AN20" s="307">
        <f t="shared" si="18"/>
        <v>0</v>
      </c>
      <c r="AO20" s="307">
        <f t="shared" si="18"/>
        <v>0</v>
      </c>
      <c r="AP20" s="307">
        <f t="shared" si="18"/>
        <v>0</v>
      </c>
      <c r="AQ20" s="307">
        <f t="shared" si="18"/>
        <v>0</v>
      </c>
      <c r="AR20" s="307">
        <f t="shared" si="18"/>
        <v>0</v>
      </c>
      <c r="AS20" s="307">
        <f t="shared" si="18"/>
        <v>0</v>
      </c>
      <c r="AT20" s="307">
        <f t="shared" si="18"/>
        <v>0</v>
      </c>
      <c r="AU20" s="307">
        <f t="shared" si="18"/>
        <v>0</v>
      </c>
      <c r="AV20" s="307">
        <f t="shared" si="18"/>
        <v>0</v>
      </c>
      <c r="AW20" s="307">
        <f t="shared" si="18"/>
        <v>0</v>
      </c>
      <c r="AX20" s="307">
        <f t="shared" si="18"/>
        <v>0</v>
      </c>
      <c r="AY20" s="307">
        <f t="shared" si="18"/>
        <v>173794.448</v>
      </c>
      <c r="AZ20" s="307">
        <f t="shared" si="18"/>
        <v>290.44799999999998</v>
      </c>
      <c r="BA20" s="310">
        <f t="shared" si="18"/>
        <v>222442.33299999998</v>
      </c>
      <c r="BB20" s="306" t="s">
        <v>178</v>
      </c>
      <c r="BC20" s="220"/>
    </row>
    <row r="21" spans="1:259" s="312" customFormat="1" ht="24.75" customHeight="1" x14ac:dyDescent="0.15">
      <c r="B21" s="393" t="s">
        <v>195</v>
      </c>
      <c r="C21" s="394"/>
      <c r="D21" s="313">
        <f t="shared" ref="D21:R21" si="19">((D10+D15)+D20)</f>
        <v>0</v>
      </c>
      <c r="E21" s="313">
        <f t="shared" si="19"/>
        <v>0</v>
      </c>
      <c r="F21" s="313">
        <f t="shared" si="19"/>
        <v>0</v>
      </c>
      <c r="G21" s="313">
        <f t="shared" si="19"/>
        <v>0</v>
      </c>
      <c r="H21" s="313">
        <f t="shared" si="19"/>
        <v>46200</v>
      </c>
      <c r="I21" s="313">
        <f t="shared" si="19"/>
        <v>0</v>
      </c>
      <c r="J21" s="314">
        <f t="shared" si="1"/>
        <v>46200</v>
      </c>
      <c r="K21" s="315">
        <f t="shared" si="19"/>
        <v>32</v>
      </c>
      <c r="L21" s="313">
        <f t="shared" si="19"/>
        <v>185759.3</v>
      </c>
      <c r="M21" s="313">
        <f t="shared" si="19"/>
        <v>1</v>
      </c>
      <c r="N21" s="313">
        <f t="shared" si="19"/>
        <v>5000</v>
      </c>
      <c r="O21" s="313">
        <f t="shared" si="19"/>
        <v>13</v>
      </c>
      <c r="P21" s="313">
        <f t="shared" si="19"/>
        <v>270000</v>
      </c>
      <c r="Q21" s="313">
        <f t="shared" si="19"/>
        <v>65</v>
      </c>
      <c r="R21" s="316">
        <f t="shared" si="19"/>
        <v>4587460</v>
      </c>
      <c r="S21" s="317" t="s">
        <v>140</v>
      </c>
      <c r="T21" s="318"/>
      <c r="U21" s="393" t="s">
        <v>141</v>
      </c>
      <c r="V21" s="394"/>
      <c r="W21" s="315">
        <f t="shared" ref="W21:AH21" si="20">((W10+W15)+W20)</f>
        <v>26832.06</v>
      </c>
      <c r="X21" s="313">
        <f t="shared" si="20"/>
        <v>0</v>
      </c>
      <c r="Y21" s="313">
        <f t="shared" si="20"/>
        <v>28281.508999999998</v>
      </c>
      <c r="Z21" s="313">
        <f t="shared" si="20"/>
        <v>204593.413</v>
      </c>
      <c r="AA21" s="313">
        <f t="shared" si="20"/>
        <v>2936.7310000000002</v>
      </c>
      <c r="AB21" s="313">
        <f t="shared" si="20"/>
        <v>257076.731</v>
      </c>
      <c r="AC21" s="313">
        <f t="shared" si="20"/>
        <v>32577.419000000002</v>
      </c>
      <c r="AD21" s="313">
        <f t="shared" si="20"/>
        <v>290.44799999999998</v>
      </c>
      <c r="AE21" s="313">
        <f t="shared" si="20"/>
        <v>38127.224999999999</v>
      </c>
      <c r="AF21" s="313">
        <f t="shared" si="20"/>
        <v>264002.89199999999</v>
      </c>
      <c r="AG21" s="313">
        <f t="shared" si="20"/>
        <v>3227.1790000000001</v>
      </c>
      <c r="AH21" s="316">
        <f t="shared" si="20"/>
        <v>323485.46499999997</v>
      </c>
      <c r="AI21" s="317" t="s">
        <v>140</v>
      </c>
      <c r="AJ21" s="318"/>
      <c r="AK21" s="393" t="s">
        <v>142</v>
      </c>
      <c r="AL21" s="394"/>
      <c r="AM21" s="315">
        <f t="shared" ref="AM21:BA21" si="21">((AM10+AM15)+AM20)</f>
        <v>0</v>
      </c>
      <c r="AN21" s="313">
        <f t="shared" si="21"/>
        <v>0</v>
      </c>
      <c r="AO21" s="313">
        <f t="shared" si="21"/>
        <v>0</v>
      </c>
      <c r="AP21" s="313">
        <f t="shared" si="21"/>
        <v>0</v>
      </c>
      <c r="AQ21" s="313">
        <f t="shared" si="21"/>
        <v>0</v>
      </c>
      <c r="AR21" s="313">
        <f t="shared" si="21"/>
        <v>0</v>
      </c>
      <c r="AS21" s="313">
        <f t="shared" si="21"/>
        <v>0</v>
      </c>
      <c r="AT21" s="313">
        <f t="shared" si="21"/>
        <v>0</v>
      </c>
      <c r="AU21" s="313">
        <f t="shared" si="21"/>
        <v>0</v>
      </c>
      <c r="AV21" s="313">
        <f t="shared" si="21"/>
        <v>0</v>
      </c>
      <c r="AW21" s="313">
        <f t="shared" si="21"/>
        <v>0</v>
      </c>
      <c r="AX21" s="313">
        <f t="shared" si="21"/>
        <v>0</v>
      </c>
      <c r="AY21" s="313">
        <f t="shared" si="21"/>
        <v>264002.89199999999</v>
      </c>
      <c r="AZ21" s="313">
        <f t="shared" si="21"/>
        <v>3227.1790000000001</v>
      </c>
      <c r="BA21" s="316">
        <f t="shared" si="21"/>
        <v>323485.46499999997</v>
      </c>
      <c r="BB21" s="317" t="s">
        <v>140</v>
      </c>
      <c r="BC21" s="319"/>
      <c r="BD21" s="320"/>
      <c r="BE21" s="320"/>
      <c r="BF21" s="320"/>
      <c r="BG21" s="320"/>
      <c r="BH21" s="320"/>
      <c r="BI21" s="320"/>
      <c r="BJ21" s="320"/>
      <c r="BK21" s="320"/>
      <c r="BL21" s="320"/>
      <c r="BM21" s="320"/>
      <c r="BN21" s="320"/>
      <c r="BO21" s="320"/>
      <c r="BP21" s="320"/>
      <c r="BQ21" s="320"/>
      <c r="BR21" s="320"/>
      <c r="BS21" s="320"/>
      <c r="BT21" s="320"/>
      <c r="BU21" s="320"/>
      <c r="BV21" s="320"/>
      <c r="BW21" s="320"/>
      <c r="BX21" s="320"/>
      <c r="BY21" s="320"/>
      <c r="BZ21" s="320"/>
      <c r="CA21" s="320"/>
      <c r="CB21" s="320"/>
      <c r="CC21" s="320"/>
      <c r="CD21" s="320"/>
      <c r="CE21" s="320"/>
      <c r="CF21" s="320"/>
      <c r="CG21" s="320"/>
      <c r="CH21" s="320"/>
      <c r="CI21" s="320"/>
      <c r="CJ21" s="320"/>
      <c r="CK21" s="320"/>
      <c r="CL21" s="320"/>
      <c r="CM21" s="320"/>
      <c r="CN21" s="320"/>
      <c r="CO21" s="320"/>
      <c r="CP21" s="320"/>
      <c r="CQ21" s="320"/>
      <c r="CR21" s="320"/>
      <c r="CS21" s="320"/>
      <c r="CT21" s="320"/>
      <c r="CU21" s="320"/>
      <c r="CV21" s="320"/>
      <c r="CW21" s="320"/>
      <c r="CX21" s="320"/>
      <c r="CY21" s="320"/>
      <c r="CZ21" s="320"/>
      <c r="DA21" s="320"/>
      <c r="DB21" s="320"/>
      <c r="DC21" s="320"/>
      <c r="DD21" s="320"/>
      <c r="DE21" s="320"/>
      <c r="DF21" s="320"/>
      <c r="DG21" s="320"/>
      <c r="DH21" s="320"/>
      <c r="DI21" s="320"/>
      <c r="DJ21" s="320"/>
      <c r="DK21" s="320"/>
      <c r="DL21" s="320"/>
      <c r="DM21" s="320"/>
      <c r="DN21" s="320"/>
      <c r="DO21" s="320"/>
      <c r="DP21" s="320"/>
      <c r="DQ21" s="320"/>
      <c r="DR21" s="320"/>
      <c r="DS21" s="320"/>
      <c r="DT21" s="320"/>
      <c r="DU21" s="320"/>
      <c r="DV21" s="320"/>
      <c r="DW21" s="320"/>
      <c r="DX21" s="320"/>
      <c r="DY21" s="320"/>
      <c r="DZ21" s="320"/>
      <c r="EA21" s="320"/>
      <c r="EB21" s="320"/>
      <c r="EC21" s="320"/>
      <c r="ED21" s="320"/>
      <c r="EE21" s="320"/>
      <c r="EF21" s="320"/>
      <c r="EG21" s="320"/>
      <c r="EH21" s="320"/>
      <c r="EI21" s="320"/>
      <c r="EJ21" s="320"/>
      <c r="EK21" s="320"/>
      <c r="EL21" s="320"/>
      <c r="EM21" s="320"/>
      <c r="EN21" s="320"/>
      <c r="EO21" s="320"/>
      <c r="EP21" s="320"/>
      <c r="EQ21" s="320"/>
      <c r="ER21" s="320"/>
      <c r="ES21" s="320"/>
      <c r="ET21" s="320"/>
      <c r="EU21" s="320"/>
      <c r="EV21" s="320"/>
      <c r="EW21" s="320"/>
      <c r="EX21" s="320"/>
      <c r="EY21" s="320"/>
      <c r="EZ21" s="320"/>
      <c r="FA21" s="320"/>
      <c r="FB21" s="320"/>
      <c r="FC21" s="320"/>
      <c r="FD21" s="320"/>
      <c r="FE21" s="320"/>
      <c r="FF21" s="320"/>
      <c r="FG21" s="320"/>
      <c r="FH21" s="320"/>
      <c r="FI21" s="320"/>
      <c r="FJ21" s="320"/>
      <c r="FK21" s="320"/>
      <c r="FL21" s="320"/>
      <c r="FM21" s="320"/>
      <c r="FN21" s="320"/>
      <c r="FO21" s="320"/>
      <c r="FP21" s="320"/>
      <c r="FQ21" s="320"/>
      <c r="FR21" s="320"/>
      <c r="FS21" s="320"/>
      <c r="FT21" s="320"/>
      <c r="FU21" s="320"/>
      <c r="FV21" s="320"/>
      <c r="FW21" s="320"/>
      <c r="FX21" s="320"/>
      <c r="FY21" s="320"/>
      <c r="FZ21" s="320"/>
      <c r="GA21" s="320"/>
      <c r="GB21" s="320"/>
      <c r="GC21" s="320"/>
      <c r="GD21" s="320"/>
      <c r="GE21" s="320"/>
      <c r="GF21" s="320"/>
      <c r="GG21" s="320"/>
      <c r="GH21" s="320"/>
      <c r="GI21" s="320"/>
      <c r="GJ21" s="320"/>
      <c r="GK21" s="320"/>
      <c r="GL21" s="320"/>
      <c r="GM21" s="320"/>
      <c r="GN21" s="320"/>
      <c r="GO21" s="320"/>
      <c r="GP21" s="320"/>
      <c r="GQ21" s="320"/>
      <c r="GR21" s="320"/>
      <c r="GS21" s="320"/>
      <c r="GT21" s="320"/>
      <c r="GU21" s="320"/>
      <c r="GV21" s="320"/>
      <c r="GW21" s="320"/>
      <c r="GX21" s="320"/>
      <c r="GY21" s="320"/>
      <c r="GZ21" s="320"/>
      <c r="HA21" s="320"/>
      <c r="HB21" s="320"/>
      <c r="HC21" s="320"/>
      <c r="HD21" s="320"/>
      <c r="HE21" s="320"/>
      <c r="HF21" s="320"/>
      <c r="HG21" s="320"/>
      <c r="HH21" s="320"/>
      <c r="HI21" s="320"/>
      <c r="HJ21" s="320"/>
      <c r="HK21" s="320"/>
      <c r="HL21" s="320"/>
      <c r="HM21" s="320"/>
      <c r="HN21" s="320"/>
      <c r="HO21" s="320"/>
      <c r="HP21" s="320"/>
      <c r="HQ21" s="320"/>
      <c r="HR21" s="320"/>
      <c r="HS21" s="320"/>
      <c r="HT21" s="320"/>
      <c r="HU21" s="320"/>
      <c r="HV21" s="320"/>
      <c r="HW21" s="320"/>
      <c r="HX21" s="320"/>
      <c r="HY21" s="320"/>
      <c r="HZ21" s="320"/>
      <c r="IA21" s="320"/>
      <c r="IB21" s="320"/>
      <c r="IC21" s="320"/>
      <c r="ID21" s="320"/>
      <c r="IE21" s="320"/>
      <c r="IF21" s="320"/>
      <c r="IG21" s="320"/>
      <c r="IH21" s="320"/>
      <c r="II21" s="320"/>
      <c r="IJ21" s="320"/>
      <c r="IK21" s="320"/>
      <c r="IL21" s="320"/>
      <c r="IM21" s="320"/>
      <c r="IN21" s="320"/>
      <c r="IO21" s="320"/>
      <c r="IP21" s="320"/>
      <c r="IQ21" s="320"/>
      <c r="IR21" s="320"/>
      <c r="IS21" s="320"/>
      <c r="IT21" s="320"/>
      <c r="IU21" s="320"/>
      <c r="IV21" s="320"/>
      <c r="IW21" s="320"/>
      <c r="IX21" s="320"/>
      <c r="IY21" s="320"/>
    </row>
  </sheetData>
  <mergeCells count="47">
    <mergeCell ref="A12:A14"/>
    <mergeCell ref="AJ12:AJ14"/>
    <mergeCell ref="AP5:AR5"/>
    <mergeCell ref="AL4:AL6"/>
    <mergeCell ref="AM4:AX4"/>
    <mergeCell ref="U11:U15"/>
    <mergeCell ref="O5:P5"/>
    <mergeCell ref="U7:U10"/>
    <mergeCell ref="S4:S6"/>
    <mergeCell ref="Q5:R5"/>
    <mergeCell ref="AM5:AO5"/>
    <mergeCell ref="T12:T14"/>
    <mergeCell ref="B21:C21"/>
    <mergeCell ref="B7:B10"/>
    <mergeCell ref="B11:B15"/>
    <mergeCell ref="B16:B20"/>
    <mergeCell ref="K4:N4"/>
    <mergeCell ref="K5:L5"/>
    <mergeCell ref="D4:G5"/>
    <mergeCell ref="H4:J5"/>
    <mergeCell ref="M5:N5"/>
    <mergeCell ref="AK21:AL21"/>
    <mergeCell ref="AK7:AK10"/>
    <mergeCell ref="V4:V6"/>
    <mergeCell ref="AK11:AK15"/>
    <mergeCell ref="AC5:AE5"/>
    <mergeCell ref="AF5:AH5"/>
    <mergeCell ref="AK16:AK20"/>
    <mergeCell ref="U21:V21"/>
    <mergeCell ref="U16:U20"/>
    <mergeCell ref="AI4:AI6"/>
    <mergeCell ref="I3:J3"/>
    <mergeCell ref="R3:S3"/>
    <mergeCell ref="BB4:BB6"/>
    <mergeCell ref="B4:B6"/>
    <mergeCell ref="U4:U6"/>
    <mergeCell ref="C4:C6"/>
    <mergeCell ref="AK4:AK6"/>
    <mergeCell ref="W4:AH4"/>
    <mergeCell ref="W5:Y5"/>
    <mergeCell ref="Z5:AB5"/>
    <mergeCell ref="AY4:BA5"/>
    <mergeCell ref="O4:R4"/>
    <mergeCell ref="AH3:AI3"/>
    <mergeCell ref="BA3:BB3"/>
    <mergeCell ref="AS5:AU5"/>
    <mergeCell ref="AV5:AX5"/>
  </mergeCells>
  <phoneticPr fontId="1"/>
  <printOptions horizontalCentered="1" gridLinesSet="0"/>
  <pageMargins left="0.19685039370078741" right="0.47244094488188981" top="0.59055118110236227" bottom="0.59055118110236227" header="0.51181102362204722" footer="0.51181102362204722"/>
  <pageSetup paperSize="9" scale="94" firstPageNumber="56" orientation="landscape" useFirstPageNumber="1" r:id="rId1"/>
  <headerFooter alignWithMargins="0"/>
  <colBreaks count="2" manualBreakCount="2">
    <brk id="19" max="20" man="1"/>
    <brk id="35" max="20" man="1"/>
  </colBreaks>
  <ignoredErrors>
    <ignoredError sqref="G10:J10 J20:J21 J16 AY10:BA10 AY15:BA15 AF20 G12:J15 G11 J11" formula="1"/>
    <ignoredError sqref="Z11 Z13 AB1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S2" transitionEvaluation="1">
    <tabColor rgb="FF00B050"/>
  </sheetPr>
  <dimension ref="A1:AR22"/>
  <sheetViews>
    <sheetView view="pageBreakPreview" topLeftCell="S2" zoomScale="85" zoomScaleNormal="100" zoomScaleSheetLayoutView="85" workbookViewId="0">
      <selection activeCell="AG11" sqref="AG11"/>
    </sheetView>
  </sheetViews>
  <sheetFormatPr defaultColWidth="10.625" defaultRowHeight="23.1" customHeight="1" x14ac:dyDescent="0.15"/>
  <cols>
    <col min="1" max="1" width="2.625" style="3" customWidth="1"/>
    <col min="2" max="2" width="2.375" style="3" customWidth="1"/>
    <col min="3" max="3" width="9" style="3" customWidth="1"/>
    <col min="4" max="4" width="3.875" style="3" customWidth="1"/>
    <col min="5" max="5" width="3.125" style="3" customWidth="1"/>
    <col min="6" max="6" width="4" style="3" customWidth="1"/>
    <col min="7" max="7" width="3.625" style="3" customWidth="1"/>
    <col min="8" max="8" width="6.25" style="3" customWidth="1"/>
    <col min="9" max="9" width="3.625" style="3" customWidth="1"/>
    <col min="10" max="10" width="3.875" style="3" customWidth="1"/>
    <col min="11" max="11" width="4.25" style="3" customWidth="1"/>
    <col min="12" max="12" width="4.5" style="3" customWidth="1"/>
    <col min="13" max="13" width="6.25" style="3" customWidth="1"/>
    <col min="14" max="14" width="6.375" style="3" customWidth="1"/>
    <col min="15" max="15" width="2.875" style="3" customWidth="1"/>
    <col min="16" max="16" width="3.75" style="3" customWidth="1"/>
    <col min="17" max="17" width="5.125" style="3" customWidth="1"/>
    <col min="18" max="18" width="7.125" style="3" bestFit="1" customWidth="1"/>
    <col min="19" max="19" width="5.625" style="3" customWidth="1"/>
    <col min="20" max="20" width="3.75" style="3" customWidth="1"/>
    <col min="21" max="21" width="6" style="3" customWidth="1"/>
    <col min="22" max="22" width="5.125" style="3" customWidth="1"/>
    <col min="23" max="23" width="6.875" style="3" customWidth="1"/>
    <col min="24" max="24" width="7.5" style="3" customWidth="1"/>
    <col min="25" max="25" width="9" style="2" customWidth="1"/>
    <col min="26" max="26" width="2.625" style="2" customWidth="1"/>
    <col min="27" max="27" width="2.5" style="2" customWidth="1"/>
    <col min="28" max="28" width="11.125" style="2" customWidth="1"/>
    <col min="29" max="31" width="8.125" style="3" customWidth="1"/>
    <col min="32" max="32" width="10" style="3" customWidth="1"/>
    <col min="33" max="35" width="8.125" style="3" customWidth="1"/>
    <col min="36" max="36" width="8.875" style="3" customWidth="1"/>
    <col min="37" max="40" width="6.5" style="3" customWidth="1"/>
    <col min="41" max="41" width="11.125" style="2" customWidth="1"/>
    <col min="42" max="49" width="10.625" style="3" customWidth="1"/>
    <col min="50" max="16384" width="10.625" style="3"/>
  </cols>
  <sheetData>
    <row r="1" spans="1:44" ht="18" customHeight="1" x14ac:dyDescent="0.15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1"/>
      <c r="Z1" s="1"/>
      <c r="AA1" s="1"/>
      <c r="AB1" s="22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1"/>
    </row>
    <row r="2" spans="1:44" ht="18" customHeight="1" x14ac:dyDescent="0.15">
      <c r="B2" s="27"/>
      <c r="C2" s="28"/>
      <c r="D2" s="29" t="s">
        <v>22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1"/>
      <c r="Z2" s="1"/>
      <c r="AA2" s="23"/>
      <c r="AB2" s="24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1"/>
    </row>
    <row r="3" spans="1:44" ht="22.5" customHeight="1" x14ac:dyDescent="0.15">
      <c r="C3" s="148" t="s">
        <v>285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405" t="s">
        <v>243</v>
      </c>
      <c r="Y3" s="405"/>
      <c r="Z3" s="200"/>
      <c r="AA3" s="25"/>
      <c r="AB3" s="148" t="s">
        <v>286</v>
      </c>
      <c r="AD3" s="31"/>
      <c r="AE3" s="31"/>
      <c r="AF3" s="31"/>
      <c r="AG3" s="31"/>
      <c r="AH3" s="31"/>
      <c r="AI3" s="405" t="s">
        <v>243</v>
      </c>
      <c r="AJ3" s="405"/>
      <c r="AK3" s="30" t="s">
        <v>196</v>
      </c>
      <c r="AL3" s="31"/>
      <c r="AM3" s="31"/>
      <c r="AN3" s="424" t="s">
        <v>245</v>
      </c>
      <c r="AO3" s="424"/>
    </row>
    <row r="4" spans="1:44" ht="23.25" customHeight="1" x14ac:dyDescent="0.15">
      <c r="B4" s="425" t="s">
        <v>53</v>
      </c>
      <c r="C4" s="432" t="s">
        <v>197</v>
      </c>
      <c r="D4" s="441" t="s">
        <v>143</v>
      </c>
      <c r="E4" s="412"/>
      <c r="F4" s="412"/>
      <c r="G4" s="412"/>
      <c r="H4" s="412"/>
      <c r="I4" s="412"/>
      <c r="J4" s="412"/>
      <c r="K4" s="412"/>
      <c r="L4" s="412"/>
      <c r="M4" s="412"/>
      <c r="N4" s="440" t="s">
        <v>144</v>
      </c>
      <c r="O4" s="412"/>
      <c r="P4" s="412"/>
      <c r="Q4" s="412"/>
      <c r="R4" s="412"/>
      <c r="S4" s="412"/>
      <c r="T4" s="412"/>
      <c r="U4" s="412"/>
      <c r="V4" s="412"/>
      <c r="W4" s="412"/>
      <c r="X4" s="432" t="s">
        <v>24</v>
      </c>
      <c r="Y4" s="409" t="s">
        <v>198</v>
      </c>
      <c r="Z4" s="197"/>
      <c r="AA4" s="435" t="s">
        <v>53</v>
      </c>
      <c r="AB4" s="406" t="s">
        <v>197</v>
      </c>
      <c r="AC4" s="441" t="s">
        <v>330</v>
      </c>
      <c r="AD4" s="412"/>
      <c r="AE4" s="412"/>
      <c r="AF4" s="422" t="s">
        <v>280</v>
      </c>
      <c r="AG4" s="412" t="s">
        <v>145</v>
      </c>
      <c r="AH4" s="412"/>
      <c r="AI4" s="412"/>
      <c r="AJ4" s="146"/>
      <c r="AK4" s="412" t="s">
        <v>303</v>
      </c>
      <c r="AL4" s="412"/>
      <c r="AM4" s="413" t="s">
        <v>146</v>
      </c>
      <c r="AN4" s="414"/>
      <c r="AO4" s="409" t="s">
        <v>164</v>
      </c>
    </row>
    <row r="5" spans="1:44" ht="23.25" customHeight="1" x14ac:dyDescent="0.15">
      <c r="B5" s="426"/>
      <c r="C5" s="433"/>
      <c r="D5" s="438" t="s">
        <v>147</v>
      </c>
      <c r="E5" s="439"/>
      <c r="F5" s="439"/>
      <c r="G5" s="439"/>
      <c r="H5" s="439" t="s">
        <v>148</v>
      </c>
      <c r="I5" s="439"/>
      <c r="J5" s="439"/>
      <c r="K5" s="439"/>
      <c r="L5" s="415" t="s">
        <v>23</v>
      </c>
      <c r="M5" s="415" t="s">
        <v>17</v>
      </c>
      <c r="N5" s="439" t="s">
        <v>147</v>
      </c>
      <c r="O5" s="439"/>
      <c r="P5" s="439"/>
      <c r="Q5" s="439"/>
      <c r="R5" s="439" t="s">
        <v>148</v>
      </c>
      <c r="S5" s="439"/>
      <c r="T5" s="439"/>
      <c r="U5" s="442"/>
      <c r="V5" s="447" t="s">
        <v>23</v>
      </c>
      <c r="W5" s="415" t="s">
        <v>17</v>
      </c>
      <c r="X5" s="433"/>
      <c r="Y5" s="410"/>
      <c r="Z5" s="197"/>
      <c r="AA5" s="436"/>
      <c r="AB5" s="407"/>
      <c r="AC5" s="431" t="s">
        <v>314</v>
      </c>
      <c r="AD5" s="415" t="s">
        <v>149</v>
      </c>
      <c r="AE5" s="415" t="s">
        <v>17</v>
      </c>
      <c r="AF5" s="423"/>
      <c r="AG5" s="415" t="s">
        <v>298</v>
      </c>
      <c r="AH5" s="415" t="s">
        <v>150</v>
      </c>
      <c r="AI5" s="415" t="s">
        <v>17</v>
      </c>
      <c r="AJ5" s="149" t="s">
        <v>151</v>
      </c>
      <c r="AK5" s="420" t="s">
        <v>234</v>
      </c>
      <c r="AL5" s="415" t="s">
        <v>152</v>
      </c>
      <c r="AM5" s="417" t="s">
        <v>235</v>
      </c>
      <c r="AN5" s="418" t="s">
        <v>152</v>
      </c>
      <c r="AO5" s="410"/>
    </row>
    <row r="6" spans="1:44" ht="23.25" customHeight="1" x14ac:dyDescent="0.15">
      <c r="B6" s="427"/>
      <c r="C6" s="434"/>
      <c r="D6" s="52" t="s">
        <v>25</v>
      </c>
      <c r="E6" s="49" t="s">
        <v>153</v>
      </c>
      <c r="F6" s="49" t="s">
        <v>26</v>
      </c>
      <c r="G6" s="49" t="s">
        <v>23</v>
      </c>
      <c r="H6" s="32" t="s">
        <v>27</v>
      </c>
      <c r="I6" s="49" t="s">
        <v>26</v>
      </c>
      <c r="J6" s="210" t="s">
        <v>239</v>
      </c>
      <c r="K6" s="49" t="s">
        <v>23</v>
      </c>
      <c r="L6" s="416"/>
      <c r="M6" s="416"/>
      <c r="N6" s="32" t="s">
        <v>25</v>
      </c>
      <c r="O6" s="49" t="s">
        <v>154</v>
      </c>
      <c r="P6" s="32" t="s">
        <v>26</v>
      </c>
      <c r="Q6" s="32" t="s">
        <v>23</v>
      </c>
      <c r="R6" s="32" t="s">
        <v>27</v>
      </c>
      <c r="S6" s="49" t="s">
        <v>26</v>
      </c>
      <c r="T6" s="210" t="s">
        <v>226</v>
      </c>
      <c r="U6" s="50" t="s">
        <v>23</v>
      </c>
      <c r="V6" s="448"/>
      <c r="W6" s="416"/>
      <c r="X6" s="434"/>
      <c r="Y6" s="411"/>
      <c r="Z6" s="197"/>
      <c r="AA6" s="437"/>
      <c r="AB6" s="408"/>
      <c r="AC6" s="421"/>
      <c r="AD6" s="416"/>
      <c r="AE6" s="416"/>
      <c r="AF6" s="51" t="s">
        <v>155</v>
      </c>
      <c r="AG6" s="416"/>
      <c r="AH6" s="416"/>
      <c r="AI6" s="416"/>
      <c r="AJ6" s="147"/>
      <c r="AK6" s="421"/>
      <c r="AL6" s="416"/>
      <c r="AM6" s="416"/>
      <c r="AN6" s="419"/>
      <c r="AO6" s="411"/>
    </row>
    <row r="7" spans="1:44" ht="25.5" customHeight="1" x14ac:dyDescent="0.15">
      <c r="B7" s="428" t="s">
        <v>79</v>
      </c>
      <c r="C7" s="555" t="s">
        <v>292</v>
      </c>
      <c r="D7" s="150"/>
      <c r="E7" s="151"/>
      <c r="F7" s="151"/>
      <c r="G7" s="151"/>
      <c r="H7" s="151"/>
      <c r="I7" s="151"/>
      <c r="J7" s="151"/>
      <c r="K7" s="152"/>
      <c r="L7" s="151"/>
      <c r="M7" s="153">
        <f>SUM(D7:L7)</f>
        <v>0</v>
      </c>
      <c r="N7" s="152"/>
      <c r="O7" s="151"/>
      <c r="P7" s="151"/>
      <c r="Q7" s="151"/>
      <c r="R7" s="151">
        <v>299.46300000000002</v>
      </c>
      <c r="S7" s="151"/>
      <c r="T7" s="151"/>
      <c r="U7" s="151"/>
      <c r="V7" s="154"/>
      <c r="W7" s="155">
        <f>SUM(N7:V7)</f>
        <v>299.46300000000002</v>
      </c>
      <c r="X7" s="156">
        <f>(M7+W7)</f>
        <v>299.46300000000002</v>
      </c>
      <c r="Y7" s="562" t="s">
        <v>274</v>
      </c>
      <c r="Z7" s="198"/>
      <c r="AA7" s="428" t="s">
        <v>79</v>
      </c>
      <c r="AB7" s="555" t="s">
        <v>80</v>
      </c>
      <c r="AC7" s="150"/>
      <c r="AD7" s="151"/>
      <c r="AE7" s="153">
        <f>(AC7+AD7)</f>
        <v>0</v>
      </c>
      <c r="AF7" s="151">
        <v>118532.039</v>
      </c>
      <c r="AG7" s="151"/>
      <c r="AH7" s="151"/>
      <c r="AI7" s="153">
        <f>(AG7+AH7)</f>
        <v>0</v>
      </c>
      <c r="AJ7" s="156">
        <f>((AE7+AF7)+AI7)</f>
        <v>118532.039</v>
      </c>
      <c r="AK7" s="150"/>
      <c r="AL7" s="151"/>
      <c r="AM7" s="151"/>
      <c r="AN7" s="171"/>
      <c r="AO7" s="562" t="s">
        <v>80</v>
      </c>
    </row>
    <row r="8" spans="1:44" ht="25.5" customHeight="1" x14ac:dyDescent="0.15">
      <c r="B8" s="429"/>
      <c r="C8" s="563" t="s">
        <v>332</v>
      </c>
      <c r="D8" s="157"/>
      <c r="E8" s="158"/>
      <c r="F8" s="158"/>
      <c r="G8" s="158"/>
      <c r="H8" s="158"/>
      <c r="I8" s="158"/>
      <c r="J8" s="158"/>
      <c r="K8" s="159"/>
      <c r="L8" s="158"/>
      <c r="M8" s="160">
        <f>SUM(D8:L8)</f>
        <v>0</v>
      </c>
      <c r="N8" s="159"/>
      <c r="O8" s="158"/>
      <c r="P8" s="158"/>
      <c r="Q8" s="158"/>
      <c r="R8" s="158">
        <v>33679.57</v>
      </c>
      <c r="S8" s="158"/>
      <c r="T8" s="158"/>
      <c r="U8" s="158"/>
      <c r="V8" s="158"/>
      <c r="W8" s="161">
        <f>SUM(N8:V8)</f>
        <v>33679.57</v>
      </c>
      <c r="X8" s="162">
        <f>(M8+W8)</f>
        <v>33679.57</v>
      </c>
      <c r="Y8" s="132" t="s">
        <v>275</v>
      </c>
      <c r="Z8" s="198"/>
      <c r="AA8" s="429"/>
      <c r="AB8" s="563" t="s">
        <v>81</v>
      </c>
      <c r="AC8" s="157"/>
      <c r="AD8" s="158"/>
      <c r="AE8" s="160">
        <f>(AC8+AD8)</f>
        <v>0</v>
      </c>
      <c r="AF8" s="158">
        <v>218454.28099999999</v>
      </c>
      <c r="AG8" s="158"/>
      <c r="AH8" s="158"/>
      <c r="AI8" s="160">
        <f>(AG8+AH8)</f>
        <v>0</v>
      </c>
      <c r="AJ8" s="162">
        <f>((AE8+AF8)+AI8)</f>
        <v>218454.28099999999</v>
      </c>
      <c r="AK8" s="157"/>
      <c r="AL8" s="158"/>
      <c r="AM8" s="158"/>
      <c r="AN8" s="172"/>
      <c r="AO8" s="132" t="s">
        <v>81</v>
      </c>
    </row>
    <row r="9" spans="1:44" ht="25.5" customHeight="1" x14ac:dyDescent="0.15">
      <c r="B9" s="429"/>
      <c r="C9" s="563" t="s">
        <v>6</v>
      </c>
      <c r="D9" s="157"/>
      <c r="E9" s="158"/>
      <c r="F9" s="158"/>
      <c r="G9" s="158"/>
      <c r="H9" s="158"/>
      <c r="I9" s="158"/>
      <c r="J9" s="158"/>
      <c r="K9" s="159"/>
      <c r="L9" s="158"/>
      <c r="M9" s="160">
        <f>SUM(D9:L9)</f>
        <v>0</v>
      </c>
      <c r="N9" s="159"/>
      <c r="O9" s="158"/>
      <c r="P9" s="158"/>
      <c r="Q9" s="158"/>
      <c r="R9" s="158"/>
      <c r="S9" s="158"/>
      <c r="T9" s="158"/>
      <c r="U9" s="158"/>
      <c r="V9" s="158"/>
      <c r="W9" s="161">
        <f>SUM(N9:V9)</f>
        <v>0</v>
      </c>
      <c r="X9" s="162">
        <f>(M9+W9)</f>
        <v>0</v>
      </c>
      <c r="Y9" s="132" t="s">
        <v>6</v>
      </c>
      <c r="Z9" s="198"/>
      <c r="AA9" s="429"/>
      <c r="AB9" s="563" t="s">
        <v>6</v>
      </c>
      <c r="AC9" s="157"/>
      <c r="AD9" s="158"/>
      <c r="AE9" s="160">
        <f>(AC9+AD9)</f>
        <v>0</v>
      </c>
      <c r="AF9" s="158"/>
      <c r="AG9" s="158"/>
      <c r="AH9" s="158"/>
      <c r="AI9" s="160">
        <f>(AG9+AH9)</f>
        <v>0</v>
      </c>
      <c r="AJ9" s="162">
        <f>((AE9+AF9)+AI9)</f>
        <v>0</v>
      </c>
      <c r="AK9" s="157">
        <v>1736.749</v>
      </c>
      <c r="AL9" s="159">
        <v>347460.15</v>
      </c>
      <c r="AM9" s="158"/>
      <c r="AN9" s="172"/>
      <c r="AO9" s="132" t="s">
        <v>6</v>
      </c>
    </row>
    <row r="10" spans="1:44" ht="25.5" customHeight="1" x14ac:dyDescent="0.15">
      <c r="B10" s="430"/>
      <c r="C10" s="59" t="s">
        <v>7</v>
      </c>
      <c r="D10" s="163">
        <f t="shared" ref="D10:L10" si="0">SUM(D7:D9)</f>
        <v>0</v>
      </c>
      <c r="E10" s="164">
        <f t="shared" si="0"/>
        <v>0</v>
      </c>
      <c r="F10" s="164">
        <f t="shared" si="0"/>
        <v>0</v>
      </c>
      <c r="G10" s="164">
        <f t="shared" si="0"/>
        <v>0</v>
      </c>
      <c r="H10" s="164">
        <f t="shared" si="0"/>
        <v>0</v>
      </c>
      <c r="I10" s="164">
        <f t="shared" si="0"/>
        <v>0</v>
      </c>
      <c r="J10" s="164">
        <f t="shared" si="0"/>
        <v>0</v>
      </c>
      <c r="K10" s="165">
        <f t="shared" si="0"/>
        <v>0</v>
      </c>
      <c r="L10" s="164">
        <f t="shared" si="0"/>
        <v>0</v>
      </c>
      <c r="M10" s="164">
        <f t="shared" ref="M10:M20" si="1">SUM(D10:L10)</f>
        <v>0</v>
      </c>
      <c r="N10" s="165">
        <f t="shared" ref="N10:V10" si="2">SUM(N7:N9)</f>
        <v>0</v>
      </c>
      <c r="O10" s="164">
        <f t="shared" si="2"/>
        <v>0</v>
      </c>
      <c r="P10" s="164">
        <f t="shared" si="2"/>
        <v>0</v>
      </c>
      <c r="Q10" s="164">
        <f t="shared" si="2"/>
        <v>0</v>
      </c>
      <c r="R10" s="164">
        <f t="shared" si="2"/>
        <v>33979.033000000003</v>
      </c>
      <c r="S10" s="164">
        <f t="shared" si="2"/>
        <v>0</v>
      </c>
      <c r="T10" s="164">
        <f t="shared" si="2"/>
        <v>0</v>
      </c>
      <c r="U10" s="164">
        <f t="shared" si="2"/>
        <v>0</v>
      </c>
      <c r="V10" s="164">
        <f t="shared" si="2"/>
        <v>0</v>
      </c>
      <c r="W10" s="166">
        <f t="shared" ref="W10:W20" si="3">SUM(N10:V10)</f>
        <v>33979.033000000003</v>
      </c>
      <c r="X10" s="167">
        <f t="shared" ref="X10:X20" si="4">(M10+W10)</f>
        <v>33979.033000000003</v>
      </c>
      <c r="Y10" s="133" t="s">
        <v>7</v>
      </c>
      <c r="Z10" s="198"/>
      <c r="AA10" s="430"/>
      <c r="AB10" s="59" t="s">
        <v>7</v>
      </c>
      <c r="AC10" s="163">
        <f>SUM(AC7:AC9)</f>
        <v>0</v>
      </c>
      <c r="AD10" s="164">
        <f>SUM(AD7:AD9)</f>
        <v>0</v>
      </c>
      <c r="AE10" s="164">
        <f t="shared" ref="AE10:AE20" si="5">(AC10+AD10)</f>
        <v>0</v>
      </c>
      <c r="AF10" s="164">
        <f>SUM(AF7:AF9)</f>
        <v>336986.32</v>
      </c>
      <c r="AG10" s="164">
        <f>SUM(AG7:AG9)</f>
        <v>0</v>
      </c>
      <c r="AH10" s="164">
        <f>SUM(AH7:AH9)</f>
        <v>0</v>
      </c>
      <c r="AI10" s="164">
        <f t="shared" ref="AI10:AI20" si="6">(AG10+AH10)</f>
        <v>0</v>
      </c>
      <c r="AJ10" s="167">
        <f t="shared" ref="AJ10:AJ20" si="7">((AE10+AF10)+AI10)</f>
        <v>336986.32</v>
      </c>
      <c r="AK10" s="163">
        <f>SUM(AK7:AK9)</f>
        <v>1736.749</v>
      </c>
      <c r="AL10" s="165">
        <f>SUM(AL7:AL9)</f>
        <v>347460.15</v>
      </c>
      <c r="AM10" s="164">
        <f>SUM(AM7:AM9)</f>
        <v>0</v>
      </c>
      <c r="AN10" s="167">
        <f>SUM(AN7:AN9)</f>
        <v>0</v>
      </c>
      <c r="AO10" s="133" t="s">
        <v>7</v>
      </c>
      <c r="AP10" s="48"/>
      <c r="AQ10" s="48"/>
      <c r="AR10" s="48"/>
    </row>
    <row r="11" spans="1:44" ht="25.5" customHeight="1" x14ac:dyDescent="0.15">
      <c r="B11" s="428" t="s">
        <v>83</v>
      </c>
      <c r="C11" s="555" t="s">
        <v>336</v>
      </c>
      <c r="D11" s="150"/>
      <c r="E11" s="151"/>
      <c r="F11" s="151"/>
      <c r="G11" s="151"/>
      <c r="H11" s="151"/>
      <c r="I11" s="151"/>
      <c r="J11" s="151"/>
      <c r="K11" s="152"/>
      <c r="L11" s="151"/>
      <c r="M11" s="153">
        <f t="shared" si="1"/>
        <v>0</v>
      </c>
      <c r="N11" s="152"/>
      <c r="O11" s="151"/>
      <c r="P11" s="151"/>
      <c r="Q11" s="151"/>
      <c r="R11" s="151"/>
      <c r="S11" s="151"/>
      <c r="T11" s="151"/>
      <c r="U11" s="242"/>
      <c r="V11" s="151"/>
      <c r="W11" s="153">
        <f t="shared" si="3"/>
        <v>0</v>
      </c>
      <c r="X11" s="156">
        <f t="shared" si="4"/>
        <v>0</v>
      </c>
      <c r="Y11" s="562" t="s">
        <v>336</v>
      </c>
      <c r="Z11" s="198"/>
      <c r="AA11" s="428" t="s">
        <v>83</v>
      </c>
      <c r="AB11" s="555" t="s">
        <v>84</v>
      </c>
      <c r="AC11" s="150"/>
      <c r="AD11" s="151"/>
      <c r="AE11" s="153">
        <f t="shared" si="5"/>
        <v>0</v>
      </c>
      <c r="AF11" s="151">
        <f>57626.58+8621.958</f>
        <v>66248.538</v>
      </c>
      <c r="AG11" s="151"/>
      <c r="AH11" s="151"/>
      <c r="AI11" s="153">
        <f t="shared" si="6"/>
        <v>0</v>
      </c>
      <c r="AJ11" s="156">
        <f t="shared" si="7"/>
        <v>66248.538</v>
      </c>
      <c r="AK11" s="150"/>
      <c r="AL11" s="151"/>
      <c r="AM11" s="151"/>
      <c r="AN11" s="171"/>
      <c r="AO11" s="562" t="s">
        <v>84</v>
      </c>
    </row>
    <row r="12" spans="1:44" ht="25.5" customHeight="1" x14ac:dyDescent="0.15">
      <c r="A12" s="443" t="s">
        <v>294</v>
      </c>
      <c r="B12" s="429"/>
      <c r="C12" s="563" t="s">
        <v>337</v>
      </c>
      <c r="D12" s="157"/>
      <c r="E12" s="158"/>
      <c r="F12" s="158"/>
      <c r="G12" s="158"/>
      <c r="H12" s="158"/>
      <c r="I12" s="158"/>
      <c r="J12" s="158"/>
      <c r="K12" s="159"/>
      <c r="L12" s="158"/>
      <c r="M12" s="160">
        <f t="shared" si="1"/>
        <v>0</v>
      </c>
      <c r="N12" s="159"/>
      <c r="O12" s="158"/>
      <c r="P12" s="158"/>
      <c r="Q12" s="158"/>
      <c r="R12" s="158"/>
      <c r="S12" s="158"/>
      <c r="T12" s="158"/>
      <c r="U12" s="158"/>
      <c r="V12" s="158"/>
      <c r="W12" s="160">
        <f t="shared" si="3"/>
        <v>0</v>
      </c>
      <c r="X12" s="162">
        <f t="shared" si="4"/>
        <v>0</v>
      </c>
      <c r="Y12" s="132" t="s">
        <v>337</v>
      </c>
      <c r="Z12" s="444" t="s">
        <v>322</v>
      </c>
      <c r="AA12" s="429"/>
      <c r="AB12" s="563" t="s">
        <v>85</v>
      </c>
      <c r="AC12" s="157">
        <v>28950.444</v>
      </c>
      <c r="AD12" s="158"/>
      <c r="AE12" s="160">
        <f t="shared" si="5"/>
        <v>28950.444</v>
      </c>
      <c r="AF12" s="158">
        <f>103817.495+22032.754+36966.055</f>
        <v>162816.304</v>
      </c>
      <c r="AG12" s="158"/>
      <c r="AH12" s="158"/>
      <c r="AI12" s="160">
        <f t="shared" si="6"/>
        <v>0</v>
      </c>
      <c r="AJ12" s="162">
        <f t="shared" si="7"/>
        <v>191766.74799999999</v>
      </c>
      <c r="AK12" s="157"/>
      <c r="AL12" s="158"/>
      <c r="AM12" s="248" t="s">
        <v>1</v>
      </c>
      <c r="AN12" s="249" t="s">
        <v>304</v>
      </c>
      <c r="AO12" s="132" t="s">
        <v>85</v>
      </c>
    </row>
    <row r="13" spans="1:44" ht="25.5" customHeight="1" x14ac:dyDescent="0.15">
      <c r="A13" s="443"/>
      <c r="B13" s="429"/>
      <c r="C13" s="563" t="s">
        <v>262</v>
      </c>
      <c r="D13" s="157"/>
      <c r="E13" s="158"/>
      <c r="F13" s="158"/>
      <c r="G13" s="158"/>
      <c r="H13" s="158"/>
      <c r="I13" s="158"/>
      <c r="J13" s="158"/>
      <c r="K13" s="159"/>
      <c r="L13" s="158"/>
      <c r="M13" s="160">
        <f t="shared" si="1"/>
        <v>0</v>
      </c>
      <c r="N13" s="159"/>
      <c r="O13" s="158"/>
      <c r="P13" s="158"/>
      <c r="Q13" s="158"/>
      <c r="R13" s="158"/>
      <c r="S13" s="158"/>
      <c r="T13" s="158"/>
      <c r="U13" s="158"/>
      <c r="V13" s="158"/>
      <c r="W13" s="160">
        <f t="shared" si="3"/>
        <v>0</v>
      </c>
      <c r="X13" s="162">
        <f t="shared" si="4"/>
        <v>0</v>
      </c>
      <c r="Y13" s="132" t="s">
        <v>261</v>
      </c>
      <c r="Z13" s="444"/>
      <c r="AA13" s="429"/>
      <c r="AB13" s="563" t="s">
        <v>261</v>
      </c>
      <c r="AC13" s="157">
        <v>62623.451000000001</v>
      </c>
      <c r="AD13" s="158"/>
      <c r="AE13" s="160">
        <f t="shared" si="5"/>
        <v>62623.451000000001</v>
      </c>
      <c r="AF13" s="158">
        <v>84431.523000000001</v>
      </c>
      <c r="AG13" s="158"/>
      <c r="AH13" s="158"/>
      <c r="AI13" s="160">
        <f t="shared" si="6"/>
        <v>0</v>
      </c>
      <c r="AJ13" s="162">
        <f t="shared" si="7"/>
        <v>147054.97399999999</v>
      </c>
      <c r="AK13" s="157"/>
      <c r="AL13" s="158"/>
      <c r="AM13" s="158"/>
      <c r="AN13" s="172"/>
      <c r="AO13" s="132" t="s">
        <v>261</v>
      </c>
    </row>
    <row r="14" spans="1:44" ht="25.5" customHeight="1" x14ac:dyDescent="0.15">
      <c r="A14" s="443"/>
      <c r="B14" s="429"/>
      <c r="C14" s="563" t="s">
        <v>333</v>
      </c>
      <c r="D14" s="157"/>
      <c r="E14" s="158"/>
      <c r="F14" s="158"/>
      <c r="G14" s="158"/>
      <c r="H14" s="158"/>
      <c r="I14" s="158"/>
      <c r="J14" s="158"/>
      <c r="K14" s="159"/>
      <c r="L14" s="158"/>
      <c r="M14" s="160">
        <f t="shared" si="1"/>
        <v>0</v>
      </c>
      <c r="N14" s="159"/>
      <c r="O14" s="158"/>
      <c r="P14" s="158"/>
      <c r="Q14" s="158"/>
      <c r="R14" s="158"/>
      <c r="S14" s="158"/>
      <c r="T14" s="158"/>
      <c r="U14" s="158"/>
      <c r="V14" s="158"/>
      <c r="W14" s="160">
        <f t="shared" si="3"/>
        <v>0</v>
      </c>
      <c r="X14" s="162">
        <f t="shared" si="4"/>
        <v>0</v>
      </c>
      <c r="Y14" s="132" t="s">
        <v>276</v>
      </c>
      <c r="Z14" s="444"/>
      <c r="AA14" s="429"/>
      <c r="AB14" s="563" t="s">
        <v>86</v>
      </c>
      <c r="AC14" s="157"/>
      <c r="AD14" s="158"/>
      <c r="AE14" s="160">
        <f t="shared" si="5"/>
        <v>0</v>
      </c>
      <c r="AF14" s="158"/>
      <c r="AG14" s="158"/>
      <c r="AH14" s="158"/>
      <c r="AI14" s="160">
        <f t="shared" si="6"/>
        <v>0</v>
      </c>
      <c r="AJ14" s="162">
        <f t="shared" si="7"/>
        <v>0</v>
      </c>
      <c r="AK14" s="157"/>
      <c r="AL14" s="158"/>
      <c r="AM14" s="158"/>
      <c r="AN14" s="172"/>
      <c r="AO14" s="132" t="s">
        <v>86</v>
      </c>
    </row>
    <row r="15" spans="1:44" ht="25.5" customHeight="1" x14ac:dyDescent="0.15">
      <c r="B15" s="430"/>
      <c r="C15" s="59" t="s">
        <v>88</v>
      </c>
      <c r="D15" s="163">
        <f t="shared" ref="D15:L15" si="8">SUM(D11:D14)</f>
        <v>0</v>
      </c>
      <c r="E15" s="164">
        <f t="shared" si="8"/>
        <v>0</v>
      </c>
      <c r="F15" s="164">
        <f t="shared" si="8"/>
        <v>0</v>
      </c>
      <c r="G15" s="164">
        <f t="shared" si="8"/>
        <v>0</v>
      </c>
      <c r="H15" s="164">
        <f t="shared" si="8"/>
        <v>0</v>
      </c>
      <c r="I15" s="164">
        <f t="shared" si="8"/>
        <v>0</v>
      </c>
      <c r="J15" s="164">
        <f t="shared" si="8"/>
        <v>0</v>
      </c>
      <c r="K15" s="165">
        <f t="shared" si="8"/>
        <v>0</v>
      </c>
      <c r="L15" s="164">
        <f t="shared" si="8"/>
        <v>0</v>
      </c>
      <c r="M15" s="164">
        <f t="shared" si="1"/>
        <v>0</v>
      </c>
      <c r="N15" s="165">
        <f t="shared" ref="N15:V15" si="9">SUM(N11:N14)</f>
        <v>0</v>
      </c>
      <c r="O15" s="164">
        <f t="shared" si="9"/>
        <v>0</v>
      </c>
      <c r="P15" s="164">
        <f t="shared" si="9"/>
        <v>0</v>
      </c>
      <c r="Q15" s="164">
        <f t="shared" si="9"/>
        <v>0</v>
      </c>
      <c r="R15" s="164">
        <f t="shared" si="9"/>
        <v>0</v>
      </c>
      <c r="S15" s="164">
        <f t="shared" si="9"/>
        <v>0</v>
      </c>
      <c r="T15" s="164">
        <f t="shared" si="9"/>
        <v>0</v>
      </c>
      <c r="U15" s="164">
        <f t="shared" si="9"/>
        <v>0</v>
      </c>
      <c r="V15" s="164">
        <f t="shared" si="9"/>
        <v>0</v>
      </c>
      <c r="W15" s="164">
        <f t="shared" si="3"/>
        <v>0</v>
      </c>
      <c r="X15" s="167">
        <f t="shared" si="4"/>
        <v>0</v>
      </c>
      <c r="Y15" s="133" t="s">
        <v>338</v>
      </c>
      <c r="Z15" s="198"/>
      <c r="AA15" s="430"/>
      <c r="AB15" s="59" t="s">
        <v>88</v>
      </c>
      <c r="AC15" s="163">
        <f>SUM(AC11:AC14)</f>
        <v>91573.895000000004</v>
      </c>
      <c r="AD15" s="164">
        <f>SUM(AD11:AD14)</f>
        <v>0</v>
      </c>
      <c r="AE15" s="164">
        <f t="shared" si="5"/>
        <v>91573.895000000004</v>
      </c>
      <c r="AF15" s="164">
        <f>SUM(AF11:AF14)</f>
        <v>313496.36499999999</v>
      </c>
      <c r="AG15" s="164">
        <f>SUM(AG11:AG14)</f>
        <v>0</v>
      </c>
      <c r="AH15" s="164">
        <f>SUM(AH11:AH14)</f>
        <v>0</v>
      </c>
      <c r="AI15" s="164">
        <f t="shared" si="6"/>
        <v>0</v>
      </c>
      <c r="AJ15" s="167">
        <f t="shared" si="7"/>
        <v>405070.26</v>
      </c>
      <c r="AK15" s="163">
        <f>SUM(AK11:AK14)</f>
        <v>0</v>
      </c>
      <c r="AL15" s="164">
        <f>SUM(AL11:AL14)</f>
        <v>0</v>
      </c>
      <c r="AM15" s="164">
        <f>SUM(AM11:AM14)</f>
        <v>0</v>
      </c>
      <c r="AN15" s="167">
        <f>SUM(AN11:AN14)</f>
        <v>0</v>
      </c>
      <c r="AO15" s="133" t="s">
        <v>88</v>
      </c>
      <c r="AP15" s="48"/>
      <c r="AQ15" s="48"/>
      <c r="AR15" s="48"/>
    </row>
    <row r="16" spans="1:44" ht="25.5" customHeight="1" x14ac:dyDescent="0.15">
      <c r="B16" s="428" t="s">
        <v>177</v>
      </c>
      <c r="C16" s="555" t="s">
        <v>259</v>
      </c>
      <c r="D16" s="150"/>
      <c r="E16" s="151"/>
      <c r="F16" s="151"/>
      <c r="G16" s="151"/>
      <c r="H16" s="151"/>
      <c r="I16" s="151"/>
      <c r="J16" s="151"/>
      <c r="K16" s="152"/>
      <c r="L16" s="151"/>
      <c r="M16" s="153">
        <f t="shared" si="1"/>
        <v>0</v>
      </c>
      <c r="N16" s="152"/>
      <c r="O16" s="151"/>
      <c r="P16" s="151"/>
      <c r="Q16" s="151"/>
      <c r="R16" s="151"/>
      <c r="S16" s="151"/>
      <c r="T16" s="151"/>
      <c r="U16" s="151"/>
      <c r="V16" s="151"/>
      <c r="W16" s="153">
        <f t="shared" si="3"/>
        <v>0</v>
      </c>
      <c r="X16" s="156">
        <f t="shared" si="4"/>
        <v>0</v>
      </c>
      <c r="Y16" s="562" t="s">
        <v>259</v>
      </c>
      <c r="Z16" s="198"/>
      <c r="AA16" s="428" t="s">
        <v>177</v>
      </c>
      <c r="AB16" s="555" t="s">
        <v>259</v>
      </c>
      <c r="AC16" s="150"/>
      <c r="AD16" s="151"/>
      <c r="AE16" s="153">
        <f t="shared" si="5"/>
        <v>0</v>
      </c>
      <c r="AF16" s="151">
        <v>26104.343000000001</v>
      </c>
      <c r="AG16" s="151"/>
      <c r="AH16" s="151"/>
      <c r="AI16" s="153">
        <f t="shared" si="6"/>
        <v>0</v>
      </c>
      <c r="AJ16" s="156">
        <f t="shared" si="7"/>
        <v>26104.343000000001</v>
      </c>
      <c r="AK16" s="150"/>
      <c r="AL16" s="151"/>
      <c r="AM16" s="151"/>
      <c r="AN16" s="171"/>
      <c r="AO16" s="555" t="s">
        <v>259</v>
      </c>
    </row>
    <row r="17" spans="2:44" ht="25.5" customHeight="1" x14ac:dyDescent="0.15">
      <c r="B17" s="429"/>
      <c r="C17" s="563" t="s">
        <v>199</v>
      </c>
      <c r="D17" s="157"/>
      <c r="E17" s="158"/>
      <c r="F17" s="158"/>
      <c r="G17" s="158"/>
      <c r="H17" s="158"/>
      <c r="I17" s="158"/>
      <c r="J17" s="158"/>
      <c r="K17" s="159"/>
      <c r="L17" s="158"/>
      <c r="M17" s="160">
        <f t="shared" si="1"/>
        <v>0</v>
      </c>
      <c r="N17" s="159"/>
      <c r="O17" s="158"/>
      <c r="P17" s="158"/>
      <c r="Q17" s="158"/>
      <c r="R17" s="158">
        <v>265311.3</v>
      </c>
      <c r="S17" s="158"/>
      <c r="T17" s="158"/>
      <c r="U17" s="158">
        <v>42106.5</v>
      </c>
      <c r="V17" s="158"/>
      <c r="W17" s="160">
        <f t="shared" si="3"/>
        <v>307417.8</v>
      </c>
      <c r="X17" s="162">
        <f>(M17+W17)</f>
        <v>307417.8</v>
      </c>
      <c r="Y17" s="132" t="s">
        <v>277</v>
      </c>
      <c r="Z17" s="198"/>
      <c r="AA17" s="429"/>
      <c r="AB17" s="563" t="s">
        <v>199</v>
      </c>
      <c r="AC17" s="157"/>
      <c r="AD17" s="158"/>
      <c r="AE17" s="160">
        <f t="shared" si="5"/>
        <v>0</v>
      </c>
      <c r="AF17" s="158">
        <v>80921.157000000007</v>
      </c>
      <c r="AG17" s="158"/>
      <c r="AH17" s="158"/>
      <c r="AI17" s="160">
        <f t="shared" si="6"/>
        <v>0</v>
      </c>
      <c r="AJ17" s="162">
        <f t="shared" si="7"/>
        <v>80921.157000000007</v>
      </c>
      <c r="AK17" s="157"/>
      <c r="AL17" s="158"/>
      <c r="AM17" s="158"/>
      <c r="AN17" s="172"/>
      <c r="AO17" s="132" t="s">
        <v>199</v>
      </c>
    </row>
    <row r="18" spans="2:44" ht="25.5" customHeight="1" x14ac:dyDescent="0.15">
      <c r="B18" s="429"/>
      <c r="C18" s="563" t="s">
        <v>334</v>
      </c>
      <c r="D18" s="288"/>
      <c r="E18" s="158"/>
      <c r="F18" s="158"/>
      <c r="G18" s="158"/>
      <c r="H18" s="158"/>
      <c r="I18" s="158"/>
      <c r="J18" s="158"/>
      <c r="K18" s="159"/>
      <c r="L18" s="158"/>
      <c r="M18" s="160">
        <f t="shared" si="1"/>
        <v>0</v>
      </c>
      <c r="N18" s="159"/>
      <c r="O18" s="158"/>
      <c r="P18" s="158"/>
      <c r="Q18" s="158"/>
      <c r="R18" s="158"/>
      <c r="S18" s="158"/>
      <c r="T18" s="158"/>
      <c r="U18" s="158"/>
      <c r="V18" s="158"/>
      <c r="W18" s="160">
        <f t="shared" si="3"/>
        <v>0</v>
      </c>
      <c r="X18" s="162">
        <f t="shared" si="4"/>
        <v>0</v>
      </c>
      <c r="Y18" s="132" t="s">
        <v>278</v>
      </c>
      <c r="Z18" s="198"/>
      <c r="AA18" s="429"/>
      <c r="AB18" s="563" t="s">
        <v>200</v>
      </c>
      <c r="AC18" s="157"/>
      <c r="AD18" s="158"/>
      <c r="AE18" s="160">
        <f t="shared" si="5"/>
        <v>0</v>
      </c>
      <c r="AF18" s="158"/>
      <c r="AG18" s="158"/>
      <c r="AH18" s="158"/>
      <c r="AI18" s="160">
        <f t="shared" si="6"/>
        <v>0</v>
      </c>
      <c r="AJ18" s="162">
        <f t="shared" si="7"/>
        <v>0</v>
      </c>
      <c r="AK18" s="157"/>
      <c r="AL18" s="158"/>
      <c r="AM18" s="158"/>
      <c r="AN18" s="172"/>
      <c r="AO18" s="132" t="s">
        <v>200</v>
      </c>
    </row>
    <row r="19" spans="2:44" ht="25.5" customHeight="1" x14ac:dyDescent="0.15">
      <c r="B19" s="429"/>
      <c r="C19" s="563" t="s">
        <v>335</v>
      </c>
      <c r="D19" s="157"/>
      <c r="E19" s="158"/>
      <c r="F19" s="158"/>
      <c r="G19" s="158"/>
      <c r="H19" s="158"/>
      <c r="I19" s="158"/>
      <c r="J19" s="158"/>
      <c r="K19" s="159"/>
      <c r="L19" s="158"/>
      <c r="M19" s="160">
        <f t="shared" si="1"/>
        <v>0</v>
      </c>
      <c r="N19" s="159">
        <v>499493</v>
      </c>
      <c r="O19" s="158"/>
      <c r="P19" s="158"/>
      <c r="Q19" s="158"/>
      <c r="R19" s="158"/>
      <c r="S19" s="158"/>
      <c r="T19" s="158"/>
      <c r="U19" s="248" t="s">
        <v>1</v>
      </c>
      <c r="V19" s="158"/>
      <c r="W19" s="160">
        <f t="shared" si="3"/>
        <v>499493</v>
      </c>
      <c r="X19" s="162">
        <f t="shared" si="4"/>
        <v>499493</v>
      </c>
      <c r="Y19" s="132" t="s">
        <v>279</v>
      </c>
      <c r="Z19" s="198"/>
      <c r="AA19" s="429"/>
      <c r="AB19" s="563" t="s">
        <v>201</v>
      </c>
      <c r="AC19" s="157">
        <v>62508</v>
      </c>
      <c r="AD19" s="158"/>
      <c r="AE19" s="160">
        <f t="shared" si="5"/>
        <v>62508</v>
      </c>
      <c r="AF19" s="158">
        <v>360492.261</v>
      </c>
      <c r="AG19" s="158"/>
      <c r="AH19" s="158"/>
      <c r="AI19" s="160">
        <f t="shared" si="6"/>
        <v>0</v>
      </c>
      <c r="AJ19" s="162">
        <f t="shared" si="7"/>
        <v>423000.261</v>
      </c>
      <c r="AK19" s="157"/>
      <c r="AL19" s="158"/>
      <c r="AM19" s="158"/>
      <c r="AN19" s="172"/>
      <c r="AO19" s="132" t="s">
        <v>201</v>
      </c>
    </row>
    <row r="20" spans="2:44" ht="25.5" customHeight="1" x14ac:dyDescent="0.15">
      <c r="B20" s="430"/>
      <c r="C20" s="321" t="s">
        <v>178</v>
      </c>
      <c r="D20" s="163">
        <f t="shared" ref="D20:L20" si="10">SUM(D16:D19)</f>
        <v>0</v>
      </c>
      <c r="E20" s="164">
        <f t="shared" si="10"/>
        <v>0</v>
      </c>
      <c r="F20" s="164">
        <f t="shared" si="10"/>
        <v>0</v>
      </c>
      <c r="G20" s="164">
        <f t="shared" si="10"/>
        <v>0</v>
      </c>
      <c r="H20" s="164">
        <f t="shared" si="10"/>
        <v>0</v>
      </c>
      <c r="I20" s="164">
        <f t="shared" si="10"/>
        <v>0</v>
      </c>
      <c r="J20" s="164">
        <f t="shared" si="10"/>
        <v>0</v>
      </c>
      <c r="K20" s="165">
        <f t="shared" si="10"/>
        <v>0</v>
      </c>
      <c r="L20" s="164">
        <f t="shared" si="10"/>
        <v>0</v>
      </c>
      <c r="M20" s="164">
        <f t="shared" si="1"/>
        <v>0</v>
      </c>
      <c r="N20" s="165">
        <f t="shared" ref="N20:V20" si="11">SUM(N16:N19)</f>
        <v>499493</v>
      </c>
      <c r="O20" s="164">
        <f t="shared" si="11"/>
        <v>0</v>
      </c>
      <c r="P20" s="164">
        <f t="shared" si="11"/>
        <v>0</v>
      </c>
      <c r="Q20" s="164">
        <f t="shared" si="11"/>
        <v>0</v>
      </c>
      <c r="R20" s="164">
        <f t="shared" si="11"/>
        <v>265311.3</v>
      </c>
      <c r="S20" s="164">
        <f t="shared" si="11"/>
        <v>0</v>
      </c>
      <c r="T20" s="164">
        <f t="shared" si="11"/>
        <v>0</v>
      </c>
      <c r="U20" s="164">
        <f t="shared" si="11"/>
        <v>42106.5</v>
      </c>
      <c r="V20" s="164">
        <f t="shared" si="11"/>
        <v>0</v>
      </c>
      <c r="W20" s="165">
        <f t="shared" si="3"/>
        <v>806910.8</v>
      </c>
      <c r="X20" s="167">
        <f t="shared" si="4"/>
        <v>806910.8</v>
      </c>
      <c r="Y20" s="133" t="s">
        <v>178</v>
      </c>
      <c r="Z20" s="198"/>
      <c r="AA20" s="430"/>
      <c r="AB20" s="59" t="s">
        <v>179</v>
      </c>
      <c r="AC20" s="163">
        <f>SUM(AC16:AC19)</f>
        <v>62508</v>
      </c>
      <c r="AD20" s="164">
        <f>SUM(AD16:AD19)</f>
        <v>0</v>
      </c>
      <c r="AE20" s="164">
        <f t="shared" si="5"/>
        <v>62508</v>
      </c>
      <c r="AF20" s="164">
        <f>SUM(AF16:AF19)</f>
        <v>467517.761</v>
      </c>
      <c r="AG20" s="164">
        <f>SUM(AG16:AG19)</f>
        <v>0</v>
      </c>
      <c r="AH20" s="164">
        <f>SUM(AH16:AH19)</f>
        <v>0</v>
      </c>
      <c r="AI20" s="164">
        <f t="shared" si="6"/>
        <v>0</v>
      </c>
      <c r="AJ20" s="167">
        <f t="shared" si="7"/>
        <v>530025.76099999994</v>
      </c>
      <c r="AK20" s="163">
        <f>SUM(AK16:AK19)</f>
        <v>0</v>
      </c>
      <c r="AL20" s="164">
        <f>SUM(AL16:AL19)</f>
        <v>0</v>
      </c>
      <c r="AM20" s="164">
        <f>SUM(AM16:AM19)</f>
        <v>0</v>
      </c>
      <c r="AN20" s="167">
        <f>SUM(AN16:AN19)</f>
        <v>0</v>
      </c>
      <c r="AO20" s="133" t="s">
        <v>179</v>
      </c>
      <c r="AP20" s="48"/>
      <c r="AQ20" s="48"/>
      <c r="AR20" s="48"/>
    </row>
    <row r="21" spans="2:44" s="58" customFormat="1" ht="25.5" customHeight="1" x14ac:dyDescent="0.15">
      <c r="B21" s="445" t="s">
        <v>202</v>
      </c>
      <c r="C21" s="446"/>
      <c r="D21" s="168">
        <f t="shared" ref="D21:X21" si="12">((D10+D15)+D20)</f>
        <v>0</v>
      </c>
      <c r="E21" s="169">
        <f t="shared" si="12"/>
        <v>0</v>
      </c>
      <c r="F21" s="169">
        <f t="shared" si="12"/>
        <v>0</v>
      </c>
      <c r="G21" s="169">
        <f t="shared" si="12"/>
        <v>0</v>
      </c>
      <c r="H21" s="169">
        <f t="shared" si="12"/>
        <v>0</v>
      </c>
      <c r="I21" s="169">
        <f t="shared" si="12"/>
        <v>0</v>
      </c>
      <c r="J21" s="169">
        <f t="shared" si="12"/>
        <v>0</v>
      </c>
      <c r="K21" s="169">
        <f t="shared" si="12"/>
        <v>0</v>
      </c>
      <c r="L21" s="169">
        <f t="shared" si="12"/>
        <v>0</v>
      </c>
      <c r="M21" s="169">
        <f t="shared" si="12"/>
        <v>0</v>
      </c>
      <c r="N21" s="169">
        <f t="shared" si="12"/>
        <v>499493</v>
      </c>
      <c r="O21" s="169">
        <f t="shared" si="12"/>
        <v>0</v>
      </c>
      <c r="P21" s="169">
        <f t="shared" si="12"/>
        <v>0</v>
      </c>
      <c r="Q21" s="169">
        <f t="shared" si="12"/>
        <v>0</v>
      </c>
      <c r="R21" s="169">
        <f t="shared" si="12"/>
        <v>299290.33299999998</v>
      </c>
      <c r="S21" s="169">
        <f t="shared" si="12"/>
        <v>0</v>
      </c>
      <c r="T21" s="169">
        <f t="shared" si="12"/>
        <v>0</v>
      </c>
      <c r="U21" s="169">
        <f t="shared" si="12"/>
        <v>42106.5</v>
      </c>
      <c r="V21" s="169">
        <f t="shared" si="12"/>
        <v>0</v>
      </c>
      <c r="W21" s="169">
        <f t="shared" si="12"/>
        <v>840889.8330000001</v>
      </c>
      <c r="X21" s="170">
        <f t="shared" si="12"/>
        <v>840889.8330000001</v>
      </c>
      <c r="Y21" s="134" t="s">
        <v>91</v>
      </c>
      <c r="Z21" s="199"/>
      <c r="AA21" s="445" t="s">
        <v>90</v>
      </c>
      <c r="AB21" s="446"/>
      <c r="AC21" s="168">
        <f>((AC10+AC15)+AC20)</f>
        <v>154081.89500000002</v>
      </c>
      <c r="AD21" s="169">
        <f t="shared" ref="AD21:AN21" si="13">((AD10+AD15)+AD20)</f>
        <v>0</v>
      </c>
      <c r="AE21" s="169">
        <f t="shared" si="13"/>
        <v>154081.89500000002</v>
      </c>
      <c r="AF21" s="169">
        <f t="shared" si="13"/>
        <v>1118000.446</v>
      </c>
      <c r="AG21" s="169">
        <f t="shared" si="13"/>
        <v>0</v>
      </c>
      <c r="AH21" s="169">
        <f t="shared" si="13"/>
        <v>0</v>
      </c>
      <c r="AI21" s="169">
        <f t="shared" si="13"/>
        <v>0</v>
      </c>
      <c r="AJ21" s="170">
        <f t="shared" si="13"/>
        <v>1272082.341</v>
      </c>
      <c r="AK21" s="168">
        <f t="shared" si="13"/>
        <v>1736.749</v>
      </c>
      <c r="AL21" s="169">
        <f t="shared" si="13"/>
        <v>347460.15</v>
      </c>
      <c r="AM21" s="169">
        <f t="shared" si="13"/>
        <v>0</v>
      </c>
      <c r="AN21" s="170">
        <f t="shared" si="13"/>
        <v>0</v>
      </c>
      <c r="AO21" s="134" t="s">
        <v>156</v>
      </c>
      <c r="AP21" s="57"/>
      <c r="AQ21" s="57"/>
      <c r="AR21" s="57"/>
    </row>
    <row r="22" spans="2:44" ht="23.1" customHeight="1" x14ac:dyDescent="0.15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</row>
  </sheetData>
  <mergeCells count="45">
    <mergeCell ref="A12:A14"/>
    <mergeCell ref="Z12:Z14"/>
    <mergeCell ref="B21:C21"/>
    <mergeCell ref="AA21:AB21"/>
    <mergeCell ref="AC4:AE4"/>
    <mergeCell ref="B11:B15"/>
    <mergeCell ref="B16:B20"/>
    <mergeCell ref="AA11:AA15"/>
    <mergeCell ref="L5:L6"/>
    <mergeCell ref="AA16:AA20"/>
    <mergeCell ref="X4:X6"/>
    <mergeCell ref="V5:V6"/>
    <mergeCell ref="W5:W6"/>
    <mergeCell ref="AN3:AO3"/>
    <mergeCell ref="B4:B6"/>
    <mergeCell ref="B7:B10"/>
    <mergeCell ref="AA7:AA10"/>
    <mergeCell ref="AC5:AC6"/>
    <mergeCell ref="AD5:AD6"/>
    <mergeCell ref="C4:C6"/>
    <mergeCell ref="Y4:Y6"/>
    <mergeCell ref="AA4:AA6"/>
    <mergeCell ref="D5:G5"/>
    <mergeCell ref="H5:K5"/>
    <mergeCell ref="N4:W4"/>
    <mergeCell ref="M5:M6"/>
    <mergeCell ref="D4:M4"/>
    <mergeCell ref="N5:Q5"/>
    <mergeCell ref="R5:U5"/>
    <mergeCell ref="X3:Y3"/>
    <mergeCell ref="AI3:AJ3"/>
    <mergeCell ref="AB4:AB6"/>
    <mergeCell ref="AO4:AO6"/>
    <mergeCell ref="AK4:AL4"/>
    <mergeCell ref="AM4:AN4"/>
    <mergeCell ref="AL5:AL6"/>
    <mergeCell ref="AM5:AM6"/>
    <mergeCell ref="AN5:AN6"/>
    <mergeCell ref="AH5:AH6"/>
    <mergeCell ref="AI5:AI6"/>
    <mergeCell ref="AK5:AK6"/>
    <mergeCell ref="AG4:AI4"/>
    <mergeCell ref="AE5:AE6"/>
    <mergeCell ref="AF4:AF5"/>
    <mergeCell ref="AG5:AG6"/>
  </mergeCells>
  <phoneticPr fontId="1"/>
  <printOptions horizontalCentered="1" gridLinesSet="0"/>
  <pageMargins left="0.27559055118110237" right="0.39370078740157483" top="0.59055118110236227" bottom="0.59055118110236227" header="0.51181102362204722" footer="0.51181102362204722"/>
  <pageSetup paperSize="9" scale="89" firstPageNumber="59" orientation="landscape" useFirstPageNumber="1" r:id="rId1"/>
  <headerFooter alignWithMargins="0"/>
  <colBreaks count="1" manualBreakCount="1">
    <brk id="25" max="20" man="1"/>
  </colBreaks>
  <ignoredErrors>
    <ignoredError sqref="M20 AE10:AE20 M10:M1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0" transitionEvaluation="1">
    <tabColor rgb="FF0070C0"/>
  </sheetPr>
  <dimension ref="A1:DE21"/>
  <sheetViews>
    <sheetView showWhiteSpace="0" view="pageBreakPreview" topLeftCell="A10" zoomScale="70" zoomScaleNormal="90" zoomScaleSheetLayoutView="70" workbookViewId="0">
      <selection activeCell="CO1" sqref="CO1:CO1048576"/>
    </sheetView>
  </sheetViews>
  <sheetFormatPr defaultColWidth="10.625" defaultRowHeight="23.1" customHeight="1" x14ac:dyDescent="0.15"/>
  <cols>
    <col min="1" max="1" width="2.75" style="5" customWidth="1"/>
    <col min="2" max="2" width="2.5" style="5" customWidth="1"/>
    <col min="3" max="3" width="9.75" style="5" customWidth="1"/>
    <col min="4" max="4" width="4.625" style="5" customWidth="1"/>
    <col min="5" max="5" width="8" style="5" bestFit="1" customWidth="1"/>
    <col min="6" max="6" width="3.75" style="5" customWidth="1"/>
    <col min="7" max="7" width="8.625" style="5" bestFit="1" customWidth="1"/>
    <col min="8" max="8" width="5.875" style="5" customWidth="1"/>
    <col min="9" max="9" width="5" style="5" customWidth="1"/>
    <col min="10" max="10" width="6.875" style="5" bestFit="1" customWidth="1"/>
    <col min="11" max="11" width="4.75" style="5" customWidth="1"/>
    <col min="12" max="12" width="6.5" style="5" customWidth="1"/>
    <col min="13" max="13" width="7.125" style="5" customWidth="1"/>
    <col min="14" max="16" width="4" style="5" customWidth="1"/>
    <col min="17" max="17" width="5.25" style="5" customWidth="1"/>
    <col min="18" max="18" width="7.125" style="5" customWidth="1"/>
    <col min="19" max="19" width="4.75" style="5" customWidth="1"/>
    <col min="20" max="20" width="7.875" style="5" customWidth="1"/>
    <col min="21" max="21" width="6.625" style="5" customWidth="1"/>
    <col min="22" max="22" width="6.5" style="5" customWidth="1"/>
    <col min="23" max="23" width="6.125" style="5" customWidth="1"/>
    <col min="24" max="24" width="9.75" style="2" customWidth="1"/>
    <col min="25" max="25" width="2.75" style="2" customWidth="1"/>
    <col min="26" max="26" width="2.5" style="2" customWidth="1"/>
    <col min="27" max="27" width="10.25" style="2" customWidth="1"/>
    <col min="28" max="28" width="7.5" style="5" customWidth="1"/>
    <col min="29" max="30" width="7.125" style="5" customWidth="1"/>
    <col min="31" max="31" width="5.625" style="5" customWidth="1"/>
    <col min="32" max="32" width="5.25" style="5" customWidth="1"/>
    <col min="33" max="33" width="5.75" style="5" customWidth="1"/>
    <col min="34" max="34" width="6.625" style="5" customWidth="1"/>
    <col min="35" max="35" width="7.125" style="5" customWidth="1"/>
    <col min="36" max="37" width="5.125" style="5" customWidth="1"/>
    <col min="38" max="38" width="6" style="5" customWidth="1"/>
    <col min="39" max="39" width="7.5" style="5" bestFit="1" customWidth="1"/>
    <col min="40" max="40" width="1.125" style="5" customWidth="1"/>
    <col min="41" max="41" width="7.375" style="5" customWidth="1"/>
    <col min="42" max="42" width="6.75" style="5" customWidth="1"/>
    <col min="43" max="43" width="6.875" style="5" bestFit="1" customWidth="1"/>
    <col min="44" max="44" width="5.625" style="5" customWidth="1"/>
    <col min="45" max="45" width="6.875" style="5" bestFit="1" customWidth="1"/>
    <col min="46" max="46" width="10.25" style="2" customWidth="1"/>
    <col min="47" max="47" width="2.75" style="2" customWidth="1"/>
    <col min="48" max="48" width="2.5" style="2" customWidth="1"/>
    <col min="49" max="49" width="10.25" style="2" customWidth="1"/>
    <col min="50" max="52" width="5.5" style="5" customWidth="1"/>
    <col min="53" max="53" width="5.625" style="5" customWidth="1"/>
    <col min="54" max="55" width="5.5" style="5" customWidth="1"/>
    <col min="56" max="56" width="5.75" style="5" customWidth="1"/>
    <col min="57" max="57" width="7.125" style="5" customWidth="1"/>
    <col min="58" max="61" width="5.5" style="5" customWidth="1"/>
    <col min="62" max="62" width="6.625" style="5" customWidth="1"/>
    <col min="63" max="64" width="7.125" style="5" customWidth="1"/>
    <col min="65" max="65" width="5.125" style="5" customWidth="1"/>
    <col min="66" max="66" width="7" style="5" customWidth="1"/>
    <col min="67" max="67" width="7.625" style="5" customWidth="1"/>
    <col min="68" max="68" width="10.25" style="2" customWidth="1"/>
    <col min="69" max="69" width="3.5" style="2" customWidth="1"/>
    <col min="70" max="70" width="2.5" style="2" customWidth="1"/>
    <col min="71" max="71" width="9.5" style="2" customWidth="1"/>
    <col min="72" max="72" width="5.625" style="5" customWidth="1"/>
    <col min="73" max="75" width="4.75" style="5" customWidth="1"/>
    <col min="76" max="76" width="5.375" style="5" customWidth="1"/>
    <col min="77" max="77" width="4" style="5" customWidth="1"/>
    <col min="78" max="78" width="4.75" style="5" customWidth="1"/>
    <col min="79" max="79" width="7.125" style="5" customWidth="1"/>
    <col min="80" max="80" width="6.125" style="5" customWidth="1"/>
    <col min="81" max="81" width="5.375" style="5" customWidth="1"/>
    <col min="82" max="82" width="5.5" style="5" customWidth="1"/>
    <col min="83" max="83" width="6.875" style="5" bestFit="1" customWidth="1"/>
    <col min="84" max="84" width="5.125" style="5" customWidth="1"/>
    <col min="85" max="85" width="6.875" style="5" bestFit="1" customWidth="1"/>
    <col min="86" max="86" width="8.875" style="5" bestFit="1" customWidth="1"/>
    <col min="87" max="87" width="7" style="5" customWidth="1"/>
    <col min="88" max="88" width="8.25" style="5" bestFit="1" customWidth="1"/>
    <col min="89" max="89" width="7.875" style="5" customWidth="1"/>
    <col min="90" max="90" width="7.25" style="5" customWidth="1"/>
    <col min="91" max="91" width="9.5" style="2" customWidth="1"/>
    <col min="92" max="92" width="3.625" style="5" customWidth="1"/>
    <col min="93" max="109" width="10.625" style="5" customWidth="1"/>
    <col min="110" max="16384" width="10.625" style="5"/>
  </cols>
  <sheetData>
    <row r="1" spans="1:109" ht="22.5" customHeight="1" x14ac:dyDescent="0.15">
      <c r="B1" s="33"/>
      <c r="C1" s="33"/>
      <c r="D1" s="33"/>
      <c r="E1" s="34" t="s">
        <v>29</v>
      </c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1"/>
      <c r="Y1" s="1"/>
      <c r="Z1" s="1"/>
      <c r="AA1" s="22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1"/>
      <c r="AU1" s="1"/>
      <c r="AV1" s="1"/>
      <c r="AW1" s="22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1"/>
      <c r="BQ1" s="1"/>
      <c r="BR1" s="1"/>
      <c r="BS1" s="22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1"/>
      <c r="CN1" s="33"/>
      <c r="CO1" s="33"/>
    </row>
    <row r="2" spans="1:109" ht="23.25" customHeight="1" x14ac:dyDescent="0.15">
      <c r="B2" s="173" t="s">
        <v>168</v>
      </c>
      <c r="C2" s="175"/>
      <c r="D2" s="175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1"/>
      <c r="Y2" s="1"/>
      <c r="Z2" s="23"/>
      <c r="AA2" s="24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1"/>
      <c r="AU2" s="1"/>
      <c r="AV2" s="23"/>
      <c r="AW2" s="24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1"/>
      <c r="BQ2" s="1"/>
      <c r="BR2" s="23"/>
      <c r="BS2" s="24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1"/>
      <c r="CN2" s="33"/>
      <c r="CO2" s="33"/>
    </row>
    <row r="3" spans="1:109" ht="23.25" customHeight="1" x14ac:dyDescent="0.15">
      <c r="B3" s="174" t="s">
        <v>287</v>
      </c>
      <c r="C3" s="174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449" t="s">
        <v>243</v>
      </c>
      <c r="X3" s="449"/>
      <c r="Y3" s="201"/>
      <c r="Z3" s="25"/>
      <c r="AA3" s="174" t="s">
        <v>288</v>
      </c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3"/>
      <c r="AO3" s="35"/>
      <c r="AP3" s="35"/>
      <c r="AQ3" s="35"/>
      <c r="AR3" s="35"/>
      <c r="AS3" s="449" t="s">
        <v>243</v>
      </c>
      <c r="AT3" s="449"/>
      <c r="AU3" s="201"/>
      <c r="AV3" s="25"/>
      <c r="AW3" s="174" t="s">
        <v>289</v>
      </c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449" t="s">
        <v>246</v>
      </c>
      <c r="BP3" s="449"/>
      <c r="BQ3" s="201"/>
      <c r="BR3" s="25"/>
      <c r="BS3" s="174" t="s">
        <v>288</v>
      </c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449" t="s">
        <v>243</v>
      </c>
      <c r="CM3" s="449"/>
      <c r="CN3" s="36"/>
      <c r="CO3" s="33"/>
    </row>
    <row r="4" spans="1:109" ht="24.75" customHeight="1" x14ac:dyDescent="0.15">
      <c r="B4" s="425" t="s">
        <v>53</v>
      </c>
      <c r="C4" s="497" t="s">
        <v>271</v>
      </c>
      <c r="D4" s="471" t="s">
        <v>54</v>
      </c>
      <c r="E4" s="471"/>
      <c r="F4" s="471"/>
      <c r="G4" s="471"/>
      <c r="H4" s="471"/>
      <c r="I4" s="471"/>
      <c r="J4" s="471"/>
      <c r="K4" s="471"/>
      <c r="L4" s="471"/>
      <c r="M4" s="478"/>
      <c r="N4" s="452" t="s">
        <v>55</v>
      </c>
      <c r="O4" s="452"/>
      <c r="P4" s="452"/>
      <c r="Q4" s="452" t="s">
        <v>217</v>
      </c>
      <c r="R4" s="452"/>
      <c r="S4" s="452"/>
      <c r="T4" s="452"/>
      <c r="U4" s="452"/>
      <c r="V4" s="453"/>
      <c r="W4" s="454"/>
      <c r="X4" s="409" t="s">
        <v>204</v>
      </c>
      <c r="Y4" s="197"/>
      <c r="Z4" s="435" t="s">
        <v>53</v>
      </c>
      <c r="AA4" s="492" t="s">
        <v>203</v>
      </c>
      <c r="AB4" s="470" t="s">
        <v>56</v>
      </c>
      <c r="AC4" s="471"/>
      <c r="AD4" s="471"/>
      <c r="AE4" s="471"/>
      <c r="AF4" s="471"/>
      <c r="AG4" s="471"/>
      <c r="AH4" s="471"/>
      <c r="AI4" s="478"/>
      <c r="AJ4" s="473" t="s">
        <v>50</v>
      </c>
      <c r="AK4" s="473" t="s">
        <v>49</v>
      </c>
      <c r="AL4" s="489" t="s">
        <v>241</v>
      </c>
      <c r="AM4" s="495" t="s">
        <v>39</v>
      </c>
      <c r="AN4" s="6"/>
      <c r="AO4" s="470" t="s">
        <v>57</v>
      </c>
      <c r="AP4" s="471"/>
      <c r="AQ4" s="471"/>
      <c r="AR4" s="471"/>
      <c r="AS4" s="472"/>
      <c r="AT4" s="486" t="s">
        <v>272</v>
      </c>
      <c r="AU4" s="204"/>
      <c r="AV4" s="521" t="s">
        <v>53</v>
      </c>
      <c r="AW4" s="482" t="s">
        <v>203</v>
      </c>
      <c r="AX4" s="480" t="s">
        <v>58</v>
      </c>
      <c r="AY4" s="481"/>
      <c r="AZ4" s="481"/>
      <c r="BA4" s="481"/>
      <c r="BB4" s="481"/>
      <c r="BC4" s="481" t="s">
        <v>59</v>
      </c>
      <c r="BD4" s="481"/>
      <c r="BE4" s="481"/>
      <c r="BF4" s="481"/>
      <c r="BG4" s="481"/>
      <c r="BH4" s="481"/>
      <c r="BI4" s="481"/>
      <c r="BJ4" s="481"/>
      <c r="BK4" s="485"/>
      <c r="BL4" s="510" t="s">
        <v>157</v>
      </c>
      <c r="BM4" s="511"/>
      <c r="BN4" s="511"/>
      <c r="BO4" s="511"/>
      <c r="BP4" s="518" t="s">
        <v>203</v>
      </c>
      <c r="BQ4" s="205"/>
      <c r="BR4" s="435" t="s">
        <v>53</v>
      </c>
      <c r="BS4" s="492" t="s">
        <v>203</v>
      </c>
      <c r="BT4" s="453" t="s">
        <v>93</v>
      </c>
      <c r="BU4" s="471"/>
      <c r="BV4" s="471"/>
      <c r="BW4" s="471"/>
      <c r="BX4" s="478"/>
      <c r="BY4" s="489" t="s">
        <v>238</v>
      </c>
      <c r="BZ4" s="489" t="s">
        <v>237</v>
      </c>
      <c r="CA4" s="37"/>
      <c r="CB4" s="470" t="s">
        <v>236</v>
      </c>
      <c r="CC4" s="471"/>
      <c r="CD4" s="471"/>
      <c r="CE4" s="471"/>
      <c r="CF4" s="471"/>
      <c r="CG4" s="471"/>
      <c r="CH4" s="471"/>
      <c r="CI4" s="471"/>
      <c r="CJ4" s="471"/>
      <c r="CK4" s="472"/>
      <c r="CL4" s="505" t="s">
        <v>273</v>
      </c>
      <c r="CM4" s="486" t="s">
        <v>203</v>
      </c>
      <c r="CN4" s="7"/>
      <c r="CO4" s="4"/>
    </row>
    <row r="5" spans="1:109" ht="24.75" customHeight="1" x14ac:dyDescent="0.15">
      <c r="B5" s="426"/>
      <c r="C5" s="498"/>
      <c r="D5" s="466" t="s">
        <v>60</v>
      </c>
      <c r="E5" s="450" t="s">
        <v>299</v>
      </c>
      <c r="F5" s="462" t="s">
        <v>61</v>
      </c>
      <c r="G5" s="500" t="s">
        <v>316</v>
      </c>
      <c r="H5" s="501"/>
      <c r="I5" s="501"/>
      <c r="J5" s="502"/>
      <c r="K5" s="455" t="s">
        <v>240</v>
      </c>
      <c r="L5" s="455" t="s">
        <v>173</v>
      </c>
      <c r="M5" s="450" t="s">
        <v>17</v>
      </c>
      <c r="N5" s="503" t="s">
        <v>62</v>
      </c>
      <c r="O5" s="455" t="s">
        <v>95</v>
      </c>
      <c r="P5" s="450" t="s">
        <v>17</v>
      </c>
      <c r="Q5" s="455" t="s">
        <v>227</v>
      </c>
      <c r="R5" s="455" t="s">
        <v>342</v>
      </c>
      <c r="S5" s="462" t="s">
        <v>339</v>
      </c>
      <c r="T5" s="455" t="s">
        <v>312</v>
      </c>
      <c r="U5" s="455" t="s">
        <v>63</v>
      </c>
      <c r="V5" s="455" t="s">
        <v>173</v>
      </c>
      <c r="W5" s="459" t="s">
        <v>17</v>
      </c>
      <c r="X5" s="410"/>
      <c r="Y5" s="197"/>
      <c r="Z5" s="436"/>
      <c r="AA5" s="493"/>
      <c r="AB5" s="272" t="s">
        <v>307</v>
      </c>
      <c r="AC5" s="271" t="s">
        <v>30</v>
      </c>
      <c r="AD5" s="450" t="s">
        <v>158</v>
      </c>
      <c r="AE5" s="271" t="s">
        <v>159</v>
      </c>
      <c r="AF5" s="271" t="s">
        <v>160</v>
      </c>
      <c r="AG5" s="450" t="s">
        <v>38</v>
      </c>
      <c r="AH5" s="271" t="s">
        <v>161</v>
      </c>
      <c r="AI5" s="450" t="s">
        <v>17</v>
      </c>
      <c r="AJ5" s="474"/>
      <c r="AK5" s="474"/>
      <c r="AL5" s="490"/>
      <c r="AM5" s="496"/>
      <c r="AN5" s="6"/>
      <c r="AO5" s="456" t="s">
        <v>64</v>
      </c>
      <c r="AP5" s="457"/>
      <c r="AQ5" s="458"/>
      <c r="AR5" s="455" t="s">
        <v>242</v>
      </c>
      <c r="AS5" s="476" t="s">
        <v>17</v>
      </c>
      <c r="AT5" s="487"/>
      <c r="AU5" s="204"/>
      <c r="AV5" s="522"/>
      <c r="AW5" s="483"/>
      <c r="AX5" s="479" t="s">
        <v>309</v>
      </c>
      <c r="AY5" s="450" t="s">
        <v>311</v>
      </c>
      <c r="AZ5" s="462" t="s">
        <v>65</v>
      </c>
      <c r="BA5" s="462" t="s">
        <v>172</v>
      </c>
      <c r="BB5" s="450" t="s">
        <v>313</v>
      </c>
      <c r="BC5" s="450" t="s">
        <v>42</v>
      </c>
      <c r="BD5" s="462" t="s">
        <v>66</v>
      </c>
      <c r="BE5" s="455" t="s">
        <v>67</v>
      </c>
      <c r="BF5" s="462" t="s">
        <v>68</v>
      </c>
      <c r="BG5" s="462" t="s">
        <v>69</v>
      </c>
      <c r="BH5" s="462" t="s">
        <v>165</v>
      </c>
      <c r="BI5" s="462" t="s">
        <v>92</v>
      </c>
      <c r="BJ5" s="455" t="s">
        <v>70</v>
      </c>
      <c r="BK5" s="459" t="s">
        <v>17</v>
      </c>
      <c r="BL5" s="272" t="s">
        <v>71</v>
      </c>
      <c r="BM5" s="271" t="s">
        <v>72</v>
      </c>
      <c r="BN5" s="455" t="s">
        <v>94</v>
      </c>
      <c r="BO5" s="464" t="s">
        <v>17</v>
      </c>
      <c r="BP5" s="519"/>
      <c r="BQ5" s="205"/>
      <c r="BR5" s="436"/>
      <c r="BS5" s="493"/>
      <c r="BT5" s="455" t="s">
        <v>341</v>
      </c>
      <c r="BU5" s="455" t="s">
        <v>171</v>
      </c>
      <c r="BV5" s="455" t="s">
        <v>170</v>
      </c>
      <c r="BW5" s="509" t="s">
        <v>281</v>
      </c>
      <c r="BX5" s="450" t="s">
        <v>17</v>
      </c>
      <c r="BY5" s="490"/>
      <c r="BZ5" s="490"/>
      <c r="CA5" s="138" t="s">
        <v>31</v>
      </c>
      <c r="CB5" s="466" t="s">
        <v>43</v>
      </c>
      <c r="CC5" s="44" t="s">
        <v>162</v>
      </c>
      <c r="CD5" s="464" t="s">
        <v>174</v>
      </c>
      <c r="CE5" s="514"/>
      <c r="CF5" s="56" t="s">
        <v>73</v>
      </c>
      <c r="CG5" s="271" t="s">
        <v>32</v>
      </c>
      <c r="CH5" s="464" t="s">
        <v>74</v>
      </c>
      <c r="CI5" s="508"/>
      <c r="CJ5" s="512" t="s">
        <v>340</v>
      </c>
      <c r="CK5" s="459" t="s">
        <v>317</v>
      </c>
      <c r="CL5" s="506"/>
      <c r="CM5" s="487"/>
      <c r="CN5" s="7"/>
      <c r="CO5" s="4"/>
    </row>
    <row r="6" spans="1:109" ht="24.75" customHeight="1" x14ac:dyDescent="0.15">
      <c r="B6" s="427"/>
      <c r="C6" s="499"/>
      <c r="D6" s="467"/>
      <c r="E6" s="451"/>
      <c r="F6" s="463"/>
      <c r="G6" s="43" t="s">
        <v>33</v>
      </c>
      <c r="H6" s="43" t="s">
        <v>34</v>
      </c>
      <c r="I6" s="43" t="s">
        <v>35</v>
      </c>
      <c r="J6" s="53" t="s">
        <v>75</v>
      </c>
      <c r="K6" s="451"/>
      <c r="L6" s="461"/>
      <c r="M6" s="451"/>
      <c r="N6" s="504"/>
      <c r="O6" s="451"/>
      <c r="P6" s="451"/>
      <c r="Q6" s="451"/>
      <c r="R6" s="451"/>
      <c r="S6" s="463"/>
      <c r="T6" s="451"/>
      <c r="U6" s="451"/>
      <c r="V6" s="461"/>
      <c r="W6" s="460"/>
      <c r="X6" s="411"/>
      <c r="Y6" s="197"/>
      <c r="Z6" s="437"/>
      <c r="AA6" s="494"/>
      <c r="AB6" s="273" t="s">
        <v>306</v>
      </c>
      <c r="AC6" s="270" t="s">
        <v>36</v>
      </c>
      <c r="AD6" s="451"/>
      <c r="AE6" s="270" t="s">
        <v>76</v>
      </c>
      <c r="AF6" s="270" t="s">
        <v>315</v>
      </c>
      <c r="AG6" s="451"/>
      <c r="AH6" s="270" t="s">
        <v>37</v>
      </c>
      <c r="AI6" s="451"/>
      <c r="AJ6" s="475"/>
      <c r="AK6" s="475"/>
      <c r="AL6" s="491"/>
      <c r="AM6" s="477"/>
      <c r="AN6" s="6"/>
      <c r="AO6" s="45" t="s">
        <v>40</v>
      </c>
      <c r="AP6" s="38" t="s">
        <v>41</v>
      </c>
      <c r="AQ6" s="39" t="s">
        <v>77</v>
      </c>
      <c r="AR6" s="451"/>
      <c r="AS6" s="477"/>
      <c r="AT6" s="488"/>
      <c r="AU6" s="204"/>
      <c r="AV6" s="523"/>
      <c r="AW6" s="484"/>
      <c r="AX6" s="467"/>
      <c r="AY6" s="451"/>
      <c r="AZ6" s="463"/>
      <c r="BA6" s="463"/>
      <c r="BB6" s="451"/>
      <c r="BC6" s="451"/>
      <c r="BD6" s="463"/>
      <c r="BE6" s="451"/>
      <c r="BF6" s="463"/>
      <c r="BG6" s="463"/>
      <c r="BH6" s="463"/>
      <c r="BI6" s="463"/>
      <c r="BJ6" s="451"/>
      <c r="BK6" s="460"/>
      <c r="BL6" s="273" t="s">
        <v>308</v>
      </c>
      <c r="BM6" s="270" t="s">
        <v>163</v>
      </c>
      <c r="BN6" s="451"/>
      <c r="BO6" s="465"/>
      <c r="BP6" s="520"/>
      <c r="BQ6" s="205"/>
      <c r="BR6" s="437"/>
      <c r="BS6" s="494"/>
      <c r="BT6" s="451"/>
      <c r="BU6" s="451"/>
      <c r="BV6" s="451"/>
      <c r="BW6" s="451"/>
      <c r="BX6" s="451"/>
      <c r="BY6" s="491"/>
      <c r="BZ6" s="491"/>
      <c r="CA6" s="41"/>
      <c r="CB6" s="467"/>
      <c r="CC6" s="270" t="s">
        <v>43</v>
      </c>
      <c r="CD6" s="40" t="s">
        <v>175</v>
      </c>
      <c r="CE6" s="40" t="s">
        <v>176</v>
      </c>
      <c r="CF6" s="55" t="s">
        <v>78</v>
      </c>
      <c r="CG6" s="270" t="s">
        <v>305</v>
      </c>
      <c r="CH6" s="42"/>
      <c r="CI6" s="43" t="s">
        <v>44</v>
      </c>
      <c r="CJ6" s="513"/>
      <c r="CK6" s="460"/>
      <c r="CL6" s="507"/>
      <c r="CM6" s="488"/>
      <c r="CN6" s="7"/>
      <c r="CO6" s="4"/>
    </row>
    <row r="7" spans="1:109" ht="27.75" customHeight="1" x14ac:dyDescent="0.15">
      <c r="B7" s="428" t="s">
        <v>79</v>
      </c>
      <c r="C7" s="555" t="s">
        <v>249</v>
      </c>
      <c r="D7" s="82">
        <v>206.733</v>
      </c>
      <c r="E7" s="83">
        <v>142440.353</v>
      </c>
      <c r="F7" s="83"/>
      <c r="G7" s="83">
        <v>23200</v>
      </c>
      <c r="H7" s="83"/>
      <c r="I7" s="83"/>
      <c r="J7" s="84">
        <f>SUM(G7:I7)</f>
        <v>23200</v>
      </c>
      <c r="K7" s="83">
        <v>490.80900000000003</v>
      </c>
      <c r="L7" s="85">
        <v>-29574.573</v>
      </c>
      <c r="M7" s="84">
        <f>D7+E7+F7+J7+K7+L7</f>
        <v>136763.32200000001</v>
      </c>
      <c r="N7" s="83"/>
      <c r="O7" s="83">
        <v>1.0820000000000001</v>
      </c>
      <c r="P7" s="86">
        <f>(N7+O7)</f>
        <v>1.0820000000000001</v>
      </c>
      <c r="Q7" s="83"/>
      <c r="R7" s="83">
        <v>13132.588</v>
      </c>
      <c r="S7" s="83"/>
      <c r="T7" s="83">
        <v>1453.9359999999999</v>
      </c>
      <c r="U7" s="83">
        <v>630.08500000000004</v>
      </c>
      <c r="V7" s="87">
        <v>-348.18799999999999</v>
      </c>
      <c r="W7" s="88">
        <f>SUM(Q7:V7)</f>
        <v>14868.421</v>
      </c>
      <c r="X7" s="562" t="s">
        <v>80</v>
      </c>
      <c r="Y7" s="198"/>
      <c r="Z7" s="428" t="s">
        <v>79</v>
      </c>
      <c r="AA7" s="555" t="s">
        <v>80</v>
      </c>
      <c r="AB7" s="107">
        <v>264356.283</v>
      </c>
      <c r="AC7" s="108">
        <v>109441.103</v>
      </c>
      <c r="AD7" s="83">
        <v>162494.55499999999</v>
      </c>
      <c r="AE7" s="83"/>
      <c r="AF7" s="83"/>
      <c r="AG7" s="83">
        <v>25190</v>
      </c>
      <c r="AH7" s="83">
        <v>8387.0329999999994</v>
      </c>
      <c r="AI7" s="84">
        <f>AB7-AC7+AD7+AE7+AF7+AG7+AH7</f>
        <v>350986.76799999998</v>
      </c>
      <c r="AJ7" s="83"/>
      <c r="AK7" s="83"/>
      <c r="AL7" s="109"/>
      <c r="AM7" s="110">
        <f>M7+P7+W7+AI7+AJ7+AK7+AL7</f>
        <v>502619.59299999999</v>
      </c>
      <c r="AN7" s="6"/>
      <c r="AO7" s="107">
        <v>19700</v>
      </c>
      <c r="AP7" s="83"/>
      <c r="AQ7" s="84">
        <f>(AO7+AP7)</f>
        <v>19700</v>
      </c>
      <c r="AR7" s="83">
        <v>736.97199999999998</v>
      </c>
      <c r="AS7" s="93">
        <f>AQ7+AR7</f>
        <v>20436.972000000002</v>
      </c>
      <c r="AT7" s="562" t="s">
        <v>80</v>
      </c>
      <c r="AU7" s="198"/>
      <c r="AV7" s="428" t="s">
        <v>79</v>
      </c>
      <c r="AW7" s="555" t="s">
        <v>80</v>
      </c>
      <c r="AX7" s="107"/>
      <c r="AY7" s="83">
        <v>577.947</v>
      </c>
      <c r="AZ7" s="83">
        <v>99.369</v>
      </c>
      <c r="BA7" s="83"/>
      <c r="BB7" s="86">
        <f>SUM(AX7:BA7)</f>
        <v>677.31600000000003</v>
      </c>
      <c r="BC7" s="83"/>
      <c r="BD7" s="83">
        <v>4128.1580000000004</v>
      </c>
      <c r="BE7" s="83">
        <v>144000</v>
      </c>
      <c r="BF7" s="83"/>
      <c r="BG7" s="83"/>
      <c r="BH7" s="83"/>
      <c r="BI7" s="83">
        <v>185</v>
      </c>
      <c r="BJ7" s="83">
        <v>9662.5120000000006</v>
      </c>
      <c r="BK7" s="88">
        <f>SUM(BC7:BJ7)</f>
        <v>157975.66999999998</v>
      </c>
      <c r="BL7" s="107">
        <v>314252</v>
      </c>
      <c r="BM7" s="83"/>
      <c r="BN7" s="83">
        <v>193600</v>
      </c>
      <c r="BO7" s="135">
        <f>SUM(BL7:BN7)</f>
        <v>507852</v>
      </c>
      <c r="BP7" s="562" t="s">
        <v>80</v>
      </c>
      <c r="BQ7" s="198"/>
      <c r="BR7" s="428" t="s">
        <v>79</v>
      </c>
      <c r="BS7" s="555" t="s">
        <v>80</v>
      </c>
      <c r="BT7" s="135">
        <v>4462.8850000000002</v>
      </c>
      <c r="BU7" s="135"/>
      <c r="BV7" s="135"/>
      <c r="BW7" s="135"/>
      <c r="BX7" s="135">
        <f>SUM(BT7:BW7)</f>
        <v>4462.8850000000002</v>
      </c>
      <c r="BY7" s="135"/>
      <c r="BZ7" s="135"/>
      <c r="CA7" s="110">
        <f>AS7+BB7+BK7+BO7+BX7+BY7+BZ7</f>
        <v>691404.84299999999</v>
      </c>
      <c r="CB7" s="139">
        <v>68797</v>
      </c>
      <c r="CC7" s="83"/>
      <c r="CD7" s="83">
        <v>1980</v>
      </c>
      <c r="CE7" s="83"/>
      <c r="CF7" s="83"/>
      <c r="CG7" s="83"/>
      <c r="CH7" s="108">
        <v>-259562.25</v>
      </c>
      <c r="CI7" s="85">
        <v>15245.473</v>
      </c>
      <c r="CJ7" s="87"/>
      <c r="CK7" s="140">
        <f>SUM(CB7:CH7)+CJ7</f>
        <v>-188785.25</v>
      </c>
      <c r="CL7" s="141">
        <f>(CA7+CK7)</f>
        <v>502619.59299999999</v>
      </c>
      <c r="CM7" s="555" t="s">
        <v>80</v>
      </c>
      <c r="CN7" s="7"/>
      <c r="CO7" s="4"/>
    </row>
    <row r="8" spans="1:109" ht="27.75" customHeight="1" x14ac:dyDescent="0.15">
      <c r="B8" s="429"/>
      <c r="C8" s="563" t="s">
        <v>81</v>
      </c>
      <c r="D8" s="89">
        <v>684.05600000000004</v>
      </c>
      <c r="E8" s="90">
        <v>852789.90399999998</v>
      </c>
      <c r="F8" s="90"/>
      <c r="G8" s="90">
        <v>23000</v>
      </c>
      <c r="H8" s="90"/>
      <c r="I8" s="90"/>
      <c r="J8" s="86">
        <f>SUM(G8:I8)</f>
        <v>23000</v>
      </c>
      <c r="K8" s="90">
        <v>52.658999999999999</v>
      </c>
      <c r="L8" s="91">
        <v>-69</v>
      </c>
      <c r="M8" s="86">
        <f>D8+E8+F8+J8+K8+L8</f>
        <v>876457.61899999995</v>
      </c>
      <c r="N8" s="90"/>
      <c r="O8" s="90"/>
      <c r="P8" s="86">
        <f>(N8+O8)</f>
        <v>0</v>
      </c>
      <c r="Q8" s="90"/>
      <c r="R8" s="90">
        <v>19793.516</v>
      </c>
      <c r="S8" s="90"/>
      <c r="T8" s="90">
        <v>11537.7</v>
      </c>
      <c r="U8" s="90">
        <v>4078.2429999999999</v>
      </c>
      <c r="V8" s="92">
        <v>-483.80799999999999</v>
      </c>
      <c r="W8" s="93">
        <f>SUM(Q8:V8)</f>
        <v>34925.651000000005</v>
      </c>
      <c r="X8" s="132" t="s">
        <v>81</v>
      </c>
      <c r="Y8" s="198"/>
      <c r="Z8" s="429"/>
      <c r="AA8" s="563" t="s">
        <v>81</v>
      </c>
      <c r="AB8" s="111">
        <f>361049.743+3954.569</f>
        <v>365004.31200000003</v>
      </c>
      <c r="AC8" s="112">
        <f>193834.661+3182.423</f>
        <v>197017.084</v>
      </c>
      <c r="AD8" s="90">
        <v>262737.25599999999</v>
      </c>
      <c r="AE8" s="100"/>
      <c r="AF8" s="90">
        <v>841.53099999999995</v>
      </c>
      <c r="AG8" s="90">
        <v>32430</v>
      </c>
      <c r="AH8" s="90">
        <v>4960.96</v>
      </c>
      <c r="AI8" s="86">
        <f>AB8-AC8+AD8+AE8+AF8+AG8+AH8</f>
        <v>468956.97500000009</v>
      </c>
      <c r="AJ8" s="100"/>
      <c r="AK8" s="90">
        <v>8097.0619999999999</v>
      </c>
      <c r="AL8" s="113"/>
      <c r="AM8" s="114">
        <f>M8+P8+W8+AI8+AJ8+AK8+AL8</f>
        <v>1388437.307</v>
      </c>
      <c r="AN8" s="6"/>
      <c r="AO8" s="111">
        <v>20000</v>
      </c>
      <c r="AP8" s="90"/>
      <c r="AQ8" s="86">
        <f>(AO8+AP8)</f>
        <v>20000</v>
      </c>
      <c r="AR8" s="90">
        <v>102.268</v>
      </c>
      <c r="AS8" s="93">
        <f>AQ8+AR8</f>
        <v>20102.268</v>
      </c>
      <c r="AT8" s="132" t="s">
        <v>81</v>
      </c>
      <c r="AU8" s="198"/>
      <c r="AV8" s="429"/>
      <c r="AW8" s="563" t="s">
        <v>81</v>
      </c>
      <c r="AX8" s="111"/>
      <c r="AY8" s="90"/>
      <c r="AZ8" s="90">
        <v>30.684000000000001</v>
      </c>
      <c r="BA8" s="90"/>
      <c r="BB8" s="86">
        <f>SUM(AX8:BA8)</f>
        <v>30.684000000000001</v>
      </c>
      <c r="BC8" s="90"/>
      <c r="BD8" s="90">
        <v>8495.67</v>
      </c>
      <c r="BE8" s="90">
        <v>100000</v>
      </c>
      <c r="BF8" s="90"/>
      <c r="BG8" s="90"/>
      <c r="BH8" s="90"/>
      <c r="BI8" s="90">
        <v>18300.400000000001</v>
      </c>
      <c r="BJ8" s="90">
        <v>18289.539000000001</v>
      </c>
      <c r="BK8" s="93">
        <f>SUM(BC8:BJ8)</f>
        <v>145085.609</v>
      </c>
      <c r="BL8" s="111">
        <v>400185</v>
      </c>
      <c r="BM8" s="90"/>
      <c r="BN8" s="90">
        <v>191500</v>
      </c>
      <c r="BO8" s="136">
        <f>SUM(BL8:BN8)</f>
        <v>591685</v>
      </c>
      <c r="BP8" s="132" t="s">
        <v>81</v>
      </c>
      <c r="BQ8" s="198"/>
      <c r="BR8" s="429"/>
      <c r="BS8" s="563" t="s">
        <v>302</v>
      </c>
      <c r="BT8" s="136">
        <v>9007.473</v>
      </c>
      <c r="BU8" s="136"/>
      <c r="BV8" s="136"/>
      <c r="BW8" s="136">
        <v>20000</v>
      </c>
      <c r="BX8" s="136">
        <f t="shared" ref="BX8:BX19" si="0">SUM(BT8:BW8)</f>
        <v>29007.472999999998</v>
      </c>
      <c r="BY8" s="136"/>
      <c r="BZ8" s="136"/>
      <c r="CA8" s="93">
        <f>AS8+BB8+BK8+BO8+BX8+BY8+BZ8</f>
        <v>785911.03399999999</v>
      </c>
      <c r="CB8" s="130">
        <v>276150</v>
      </c>
      <c r="CC8" s="90"/>
      <c r="CD8" s="90"/>
      <c r="CE8" s="90">
        <v>175000</v>
      </c>
      <c r="CF8" s="90"/>
      <c r="CG8" s="90">
        <v>100000</v>
      </c>
      <c r="CH8" s="112">
        <v>51376.305999999997</v>
      </c>
      <c r="CI8" s="91">
        <v>41795.175999999999</v>
      </c>
      <c r="CJ8" s="92"/>
      <c r="CK8" s="93">
        <f>SUM(CB8:CH8)+CJ8</f>
        <v>602526.30599999998</v>
      </c>
      <c r="CL8" s="142">
        <f>(CA8+CK8)</f>
        <v>1388437.3399999999</v>
      </c>
      <c r="CM8" s="563" t="s">
        <v>275</v>
      </c>
      <c r="CN8" s="7"/>
      <c r="CO8" s="4"/>
    </row>
    <row r="9" spans="1:109" ht="27.75" customHeight="1" x14ac:dyDescent="0.15">
      <c r="B9" s="429"/>
      <c r="C9" s="569" t="s">
        <v>218</v>
      </c>
      <c r="D9" s="90">
        <v>172.08600000000001</v>
      </c>
      <c r="E9" s="90">
        <v>205910.95</v>
      </c>
      <c r="F9" s="90"/>
      <c r="G9" s="90"/>
      <c r="H9" s="90"/>
      <c r="I9" s="90"/>
      <c r="J9" s="86">
        <f>SUM(G9:I9)</f>
        <v>0</v>
      </c>
      <c r="K9" s="90"/>
      <c r="L9" s="91"/>
      <c r="M9" s="86">
        <f>D9+E9+F9+J9+K9+L9</f>
        <v>206083.03600000002</v>
      </c>
      <c r="N9" s="90"/>
      <c r="O9" s="90"/>
      <c r="P9" s="86">
        <f>(N9+O9)</f>
        <v>0</v>
      </c>
      <c r="Q9" s="90"/>
      <c r="R9" s="90">
        <v>25542.985000000001</v>
      </c>
      <c r="S9" s="90"/>
      <c r="T9" s="90">
        <v>11174.620999999999</v>
      </c>
      <c r="U9" s="90"/>
      <c r="V9" s="92">
        <v>-204.34299999999999</v>
      </c>
      <c r="W9" s="93">
        <f>SUM(Q9:V9)</f>
        <v>36513.262999999999</v>
      </c>
      <c r="X9" s="571" t="s">
        <v>218</v>
      </c>
      <c r="Y9" s="202"/>
      <c r="Z9" s="429"/>
      <c r="AA9" s="569" t="s">
        <v>218</v>
      </c>
      <c r="AB9" s="111">
        <v>309523.63699999999</v>
      </c>
      <c r="AC9" s="112">
        <v>230711.53700000001</v>
      </c>
      <c r="AD9" s="90">
        <v>81623.266000000003</v>
      </c>
      <c r="AE9" s="90"/>
      <c r="AF9" s="90">
        <v>244.8</v>
      </c>
      <c r="AG9" s="90">
        <v>15840</v>
      </c>
      <c r="AH9" s="92">
        <f>1000-5000</f>
        <v>-4000</v>
      </c>
      <c r="AI9" s="86">
        <f t="shared" ref="AI9:AI21" si="1">AB9-AC9+AD9+AE9+AF9+AG9+AH9</f>
        <v>172520.16599999997</v>
      </c>
      <c r="AJ9" s="100"/>
      <c r="AK9" s="115"/>
      <c r="AL9" s="113"/>
      <c r="AM9" s="93">
        <f>M9+P9+W9+AI9+AJ9+AK9+AL9</f>
        <v>415116.46499999997</v>
      </c>
      <c r="AN9" s="6"/>
      <c r="AO9" s="111"/>
      <c r="AP9" s="90"/>
      <c r="AQ9" s="86">
        <f>(AO9+AP9)</f>
        <v>0</v>
      </c>
      <c r="AR9" s="90"/>
      <c r="AS9" s="93">
        <f t="shared" ref="AS9:AS21" si="2">AQ9+AR9</f>
        <v>0</v>
      </c>
      <c r="AT9" s="571" t="s">
        <v>218</v>
      </c>
      <c r="AU9" s="202"/>
      <c r="AV9" s="429"/>
      <c r="AW9" s="569" t="s">
        <v>218</v>
      </c>
      <c r="AX9" s="111"/>
      <c r="AY9" s="90"/>
      <c r="AZ9" s="90"/>
      <c r="BA9" s="90"/>
      <c r="BB9" s="86">
        <f>SUM(AX9:BA9)</f>
        <v>0</v>
      </c>
      <c r="BC9" s="90"/>
      <c r="BD9" s="90">
        <v>12190.456</v>
      </c>
      <c r="BE9" s="90"/>
      <c r="BF9" s="90"/>
      <c r="BG9" s="90"/>
      <c r="BH9" s="90"/>
      <c r="BI9" s="90">
        <v>26052.3</v>
      </c>
      <c r="BJ9" s="90">
        <f>13091.8+14228.138</f>
        <v>27319.938000000002</v>
      </c>
      <c r="BK9" s="93">
        <f>SUM(BC9:BJ9)</f>
        <v>65562.694000000003</v>
      </c>
      <c r="BL9" s="111"/>
      <c r="BM9" s="90"/>
      <c r="BN9" s="90"/>
      <c r="BO9" s="136">
        <f>SUM(BL9:BN9)</f>
        <v>0</v>
      </c>
      <c r="BP9" s="571" t="s">
        <v>218</v>
      </c>
      <c r="BQ9" s="202"/>
      <c r="BR9" s="429"/>
      <c r="BS9" s="569" t="s">
        <v>218</v>
      </c>
      <c r="BT9" s="136">
        <v>20300.164000000001</v>
      </c>
      <c r="BU9" s="136"/>
      <c r="BV9" s="136"/>
      <c r="BW9" s="136">
        <v>9795</v>
      </c>
      <c r="BX9" s="136">
        <f t="shared" si="0"/>
        <v>30095.164000000001</v>
      </c>
      <c r="BY9" s="136"/>
      <c r="BZ9" s="136"/>
      <c r="CA9" s="93">
        <f>AS9+BB9+BK9+BO9+BX9+BY9+BZ9</f>
        <v>95657.858000000007</v>
      </c>
      <c r="CB9" s="130">
        <v>56700</v>
      </c>
      <c r="CC9" s="90"/>
      <c r="CD9" s="90">
        <v>3880.5520000000001</v>
      </c>
      <c r="CE9" s="90">
        <v>91000</v>
      </c>
      <c r="CF9" s="90"/>
      <c r="CG9" s="90">
        <v>90000</v>
      </c>
      <c r="CH9" s="112">
        <v>77878.054999999993</v>
      </c>
      <c r="CI9" s="91">
        <v>71537.486999999994</v>
      </c>
      <c r="CJ9" s="92"/>
      <c r="CK9" s="93">
        <f>SUM(CB9:CH9)+CJ9</f>
        <v>319458.60699999996</v>
      </c>
      <c r="CL9" s="142">
        <f>(CA9+CK9)</f>
        <v>415116.46499999997</v>
      </c>
      <c r="CM9" s="569" t="s">
        <v>218</v>
      </c>
      <c r="CN9" s="7"/>
      <c r="CO9" s="4"/>
    </row>
    <row r="10" spans="1:109" ht="27.75" customHeight="1" x14ac:dyDescent="0.15">
      <c r="B10" s="430"/>
      <c r="C10" s="59" t="s">
        <v>7</v>
      </c>
      <c r="D10" s="94">
        <f>SUM(D7:D9)</f>
        <v>1062.875</v>
      </c>
      <c r="E10" s="95">
        <f>SUM(E7:E9)</f>
        <v>1201141.2069999999</v>
      </c>
      <c r="F10" s="96">
        <f t="shared" ref="F10:R10" si="3">SUM(F7:F9)</f>
        <v>0</v>
      </c>
      <c r="G10" s="96">
        <f t="shared" si="3"/>
        <v>46200</v>
      </c>
      <c r="H10" s="96">
        <f t="shared" si="3"/>
        <v>0</v>
      </c>
      <c r="I10" s="96">
        <f t="shared" si="3"/>
        <v>0</v>
      </c>
      <c r="J10" s="96">
        <f t="shared" si="3"/>
        <v>46200</v>
      </c>
      <c r="K10" s="96">
        <f t="shared" si="3"/>
        <v>543.46800000000007</v>
      </c>
      <c r="L10" s="97">
        <f t="shared" si="3"/>
        <v>-29643.573</v>
      </c>
      <c r="M10" s="96">
        <f t="shared" si="3"/>
        <v>1219303.977</v>
      </c>
      <c r="N10" s="96">
        <f t="shared" si="3"/>
        <v>0</v>
      </c>
      <c r="O10" s="96">
        <f t="shared" si="3"/>
        <v>1.0820000000000001</v>
      </c>
      <c r="P10" s="96">
        <f t="shared" si="3"/>
        <v>1.0820000000000001</v>
      </c>
      <c r="Q10" s="96">
        <f>SUM(Q7:Q9)</f>
        <v>0</v>
      </c>
      <c r="R10" s="96">
        <f t="shared" si="3"/>
        <v>58469.089</v>
      </c>
      <c r="S10" s="96">
        <v>0</v>
      </c>
      <c r="T10" s="95">
        <f t="shared" ref="T10:AJ10" si="4">SUM(T7:T9)</f>
        <v>24166.256999999998</v>
      </c>
      <c r="U10" s="96">
        <f t="shared" si="4"/>
        <v>4708.3279999999995</v>
      </c>
      <c r="V10" s="98">
        <f t="shared" si="4"/>
        <v>-1036.3389999999999</v>
      </c>
      <c r="W10" s="99">
        <f t="shared" si="4"/>
        <v>86307.335000000006</v>
      </c>
      <c r="X10" s="133" t="s">
        <v>7</v>
      </c>
      <c r="Y10" s="198"/>
      <c r="Z10" s="430"/>
      <c r="AA10" s="59" t="s">
        <v>7</v>
      </c>
      <c r="AB10" s="116">
        <f>SUM(AB7:AB9)</f>
        <v>938884.23199999996</v>
      </c>
      <c r="AC10" s="97">
        <f t="shared" si="4"/>
        <v>537169.72400000005</v>
      </c>
      <c r="AD10" s="96">
        <f t="shared" si="4"/>
        <v>506855.07699999999</v>
      </c>
      <c r="AE10" s="95">
        <f t="shared" si="4"/>
        <v>0</v>
      </c>
      <c r="AF10" s="96">
        <f t="shared" si="4"/>
        <v>1086.3309999999999</v>
      </c>
      <c r="AG10" s="96">
        <f t="shared" si="4"/>
        <v>73460</v>
      </c>
      <c r="AH10" s="117">
        <f t="shared" si="4"/>
        <v>9347.9929999999986</v>
      </c>
      <c r="AI10" s="118">
        <f t="shared" si="1"/>
        <v>992463.90899999999</v>
      </c>
      <c r="AJ10" s="119">
        <f t="shared" si="4"/>
        <v>0</v>
      </c>
      <c r="AK10" s="120">
        <f>SUM(AK7:AK9)</f>
        <v>8097.0619999999999</v>
      </c>
      <c r="AL10" s="121">
        <f>SUM(AL7:AL9)</f>
        <v>0</v>
      </c>
      <c r="AM10" s="122">
        <f>SUM(AM7:AM9)</f>
        <v>2306173.3649999998</v>
      </c>
      <c r="AN10" s="6"/>
      <c r="AO10" s="126">
        <f t="shared" ref="AO10:AX10" si="5">SUM(AO7:AO9)</f>
        <v>39700</v>
      </c>
      <c r="AP10" s="127">
        <f t="shared" si="5"/>
        <v>0</v>
      </c>
      <c r="AQ10" s="127">
        <f t="shared" si="5"/>
        <v>39700</v>
      </c>
      <c r="AR10" s="127">
        <f t="shared" si="5"/>
        <v>839.24</v>
      </c>
      <c r="AS10" s="128">
        <f t="shared" si="2"/>
        <v>40539.24</v>
      </c>
      <c r="AT10" s="133" t="s">
        <v>7</v>
      </c>
      <c r="AU10" s="198"/>
      <c r="AV10" s="430"/>
      <c r="AW10" s="59" t="s">
        <v>7</v>
      </c>
      <c r="AX10" s="129">
        <f t="shared" si="5"/>
        <v>0</v>
      </c>
      <c r="AY10" s="96">
        <f t="shared" ref="AY10:BF10" si="6">SUM(AY7:AY9)</f>
        <v>577.947</v>
      </c>
      <c r="AZ10" s="96">
        <f t="shared" si="6"/>
        <v>130.053</v>
      </c>
      <c r="BA10" s="96">
        <f t="shared" si="6"/>
        <v>0</v>
      </c>
      <c r="BB10" s="96">
        <f t="shared" si="6"/>
        <v>708</v>
      </c>
      <c r="BC10" s="96">
        <f t="shared" si="6"/>
        <v>0</v>
      </c>
      <c r="BD10" s="96">
        <f t="shared" si="6"/>
        <v>24814.284</v>
      </c>
      <c r="BE10" s="96">
        <f t="shared" si="6"/>
        <v>244000</v>
      </c>
      <c r="BF10" s="96">
        <f t="shared" si="6"/>
        <v>0</v>
      </c>
      <c r="BG10" s="96">
        <v>0</v>
      </c>
      <c r="BH10" s="96">
        <f t="shared" ref="BH10:BO10" si="7">SUM(BH7:BH9)</f>
        <v>0</v>
      </c>
      <c r="BI10" s="96">
        <f t="shared" si="7"/>
        <v>44537.7</v>
      </c>
      <c r="BJ10" s="96">
        <f t="shared" si="7"/>
        <v>55271.989000000001</v>
      </c>
      <c r="BK10" s="99">
        <f t="shared" si="7"/>
        <v>368623.973</v>
      </c>
      <c r="BL10" s="129">
        <f t="shared" si="7"/>
        <v>714437</v>
      </c>
      <c r="BM10" s="96">
        <f t="shared" si="7"/>
        <v>0</v>
      </c>
      <c r="BN10" s="96">
        <f t="shared" si="7"/>
        <v>385100</v>
      </c>
      <c r="BO10" s="121">
        <f t="shared" si="7"/>
        <v>1099537</v>
      </c>
      <c r="BP10" s="133" t="s">
        <v>7</v>
      </c>
      <c r="BQ10" s="198"/>
      <c r="BR10" s="430"/>
      <c r="BS10" s="59" t="s">
        <v>7</v>
      </c>
      <c r="BT10" s="96">
        <f t="shared" ref="BT10:CA10" si="8">SUM(BT7:BT9)</f>
        <v>33770.521999999997</v>
      </c>
      <c r="BU10" s="96">
        <f t="shared" si="8"/>
        <v>0</v>
      </c>
      <c r="BV10" s="96">
        <f>SUM(BV7:BV9)</f>
        <v>0</v>
      </c>
      <c r="BW10" s="96">
        <f t="shared" si="8"/>
        <v>29795</v>
      </c>
      <c r="BX10" s="96">
        <f t="shared" si="8"/>
        <v>63565.521999999997</v>
      </c>
      <c r="BY10" s="121">
        <f t="shared" si="8"/>
        <v>0</v>
      </c>
      <c r="BZ10" s="121">
        <f t="shared" si="8"/>
        <v>0</v>
      </c>
      <c r="CA10" s="99">
        <f t="shared" si="8"/>
        <v>1572973.7349999999</v>
      </c>
      <c r="CB10" s="116">
        <f t="shared" ref="CB10:CL10" si="9">SUM(CB7:CB9)</f>
        <v>401647</v>
      </c>
      <c r="CC10" s="96">
        <f t="shared" si="9"/>
        <v>0</v>
      </c>
      <c r="CD10" s="96">
        <f t="shared" si="9"/>
        <v>5860.5519999999997</v>
      </c>
      <c r="CE10" s="96">
        <f>SUM(CE7:CE9)</f>
        <v>266000</v>
      </c>
      <c r="CF10" s="96">
        <f t="shared" si="9"/>
        <v>0</v>
      </c>
      <c r="CG10" s="96">
        <f t="shared" si="9"/>
        <v>190000</v>
      </c>
      <c r="CH10" s="123">
        <f t="shared" si="9"/>
        <v>-130307.88900000002</v>
      </c>
      <c r="CI10" s="97">
        <f t="shared" si="9"/>
        <v>128578.136</v>
      </c>
      <c r="CJ10" s="98">
        <f>SUM(CJ7:CJ9)</f>
        <v>0</v>
      </c>
      <c r="CK10" s="99">
        <f t="shared" ref="CK10:CK21" si="10">SUM(CB10:CH10)+CJ10</f>
        <v>733199.66299999994</v>
      </c>
      <c r="CL10" s="143">
        <f t="shared" si="9"/>
        <v>2306173.3979999996</v>
      </c>
      <c r="CM10" s="59" t="s">
        <v>7</v>
      </c>
      <c r="CN10" s="7"/>
      <c r="CO10" s="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</row>
    <row r="11" spans="1:109" ht="27.75" customHeight="1" x14ac:dyDescent="0.15">
      <c r="B11" s="428" t="s">
        <v>83</v>
      </c>
      <c r="C11" s="555" t="s">
        <v>84</v>
      </c>
      <c r="D11" s="83">
        <v>169.50299999999999</v>
      </c>
      <c r="E11" s="83">
        <v>43849.563000000002</v>
      </c>
      <c r="F11" s="83"/>
      <c r="G11" s="83"/>
      <c r="H11" s="83"/>
      <c r="I11" s="83"/>
      <c r="J11" s="84">
        <f>SUM(G11:I11)</f>
        <v>0</v>
      </c>
      <c r="K11" s="83"/>
      <c r="L11" s="85"/>
      <c r="M11" s="84">
        <f>D11+E11+F11+J11+K11+L11</f>
        <v>44019.065999999999</v>
      </c>
      <c r="N11" s="83"/>
      <c r="O11" s="83"/>
      <c r="P11" s="84">
        <f>(N11+O11)</f>
        <v>0</v>
      </c>
      <c r="Q11" s="83"/>
      <c r="R11" s="83">
        <v>11254.296</v>
      </c>
      <c r="S11" s="83"/>
      <c r="T11" s="83">
        <v>109.16</v>
      </c>
      <c r="U11" s="83"/>
      <c r="V11" s="87">
        <v>-112.542</v>
      </c>
      <c r="W11" s="88">
        <f>SUM(Q11:V11)</f>
        <v>11250.914000000001</v>
      </c>
      <c r="X11" s="562" t="s">
        <v>84</v>
      </c>
      <c r="Y11" s="198"/>
      <c r="Z11" s="428" t="s">
        <v>83</v>
      </c>
      <c r="AA11" s="555" t="s">
        <v>84</v>
      </c>
      <c r="AB11" s="107">
        <v>260309.13</v>
      </c>
      <c r="AC11" s="108">
        <v>114274.436</v>
      </c>
      <c r="AD11" s="83">
        <v>89215.705000000002</v>
      </c>
      <c r="AE11" s="83"/>
      <c r="AF11" s="83">
        <v>348.524</v>
      </c>
      <c r="AG11" s="83">
        <v>3610</v>
      </c>
      <c r="AH11" s="83">
        <v>1455.7950000000001</v>
      </c>
      <c r="AI11" s="84">
        <f t="shared" si="1"/>
        <v>240664.71800000005</v>
      </c>
      <c r="AJ11" s="83"/>
      <c r="AK11" s="83"/>
      <c r="AL11" s="109"/>
      <c r="AM11" s="88">
        <f>M11+P11+W11+AI11+AJ11+AK11+AL11</f>
        <v>295934.69800000003</v>
      </c>
      <c r="AN11" s="6"/>
      <c r="AO11" s="107"/>
      <c r="AP11" s="83"/>
      <c r="AQ11" s="84">
        <f>(AO11+AP11)</f>
        <v>0</v>
      </c>
      <c r="AR11" s="83"/>
      <c r="AS11" s="88">
        <f t="shared" si="2"/>
        <v>0</v>
      </c>
      <c r="AT11" s="562" t="s">
        <v>84</v>
      </c>
      <c r="AU11" s="198"/>
      <c r="AV11" s="428" t="s">
        <v>83</v>
      </c>
      <c r="AW11" s="555" t="s">
        <v>84</v>
      </c>
      <c r="AX11" s="107"/>
      <c r="AY11" s="83"/>
      <c r="AZ11" s="83"/>
      <c r="BA11" s="83"/>
      <c r="BB11" s="84">
        <f>SUM(AX11:BA11)</f>
        <v>0</v>
      </c>
      <c r="BC11" s="83"/>
      <c r="BD11" s="83">
        <v>4624.8760000000002</v>
      </c>
      <c r="BE11" s="83"/>
      <c r="BF11" s="83"/>
      <c r="BG11" s="83"/>
      <c r="BH11" s="83"/>
      <c r="BI11" s="83">
        <v>185</v>
      </c>
      <c r="BJ11" s="83">
        <v>1991.26</v>
      </c>
      <c r="BK11" s="88">
        <f>SUM(BC11:BJ11)</f>
        <v>6801.1360000000004</v>
      </c>
      <c r="BL11" s="107">
        <v>159356</v>
      </c>
      <c r="BM11" s="83"/>
      <c r="BN11" s="83"/>
      <c r="BO11" s="135">
        <f>SUM(BL11:BN11)</f>
        <v>159356</v>
      </c>
      <c r="BP11" s="562" t="s">
        <v>84</v>
      </c>
      <c r="BQ11" s="198"/>
      <c r="BR11" s="243"/>
      <c r="BS11" s="555" t="s">
        <v>84</v>
      </c>
      <c r="BT11" s="135">
        <v>766.55899999999997</v>
      </c>
      <c r="BU11" s="135"/>
      <c r="BV11" s="135"/>
      <c r="BW11" s="135"/>
      <c r="BX11" s="136">
        <f t="shared" si="0"/>
        <v>766.55899999999997</v>
      </c>
      <c r="BY11" s="135"/>
      <c r="BZ11" s="135"/>
      <c r="CA11" s="88">
        <f>AS11+BB11+BK11+BO11+BX11+BY11+BZ11</f>
        <v>166923.69500000001</v>
      </c>
      <c r="CB11" s="139">
        <v>11320</v>
      </c>
      <c r="CC11" s="83"/>
      <c r="CD11" s="83"/>
      <c r="CE11" s="83">
        <v>30000</v>
      </c>
      <c r="CF11" s="83"/>
      <c r="CG11" s="83"/>
      <c r="CH11" s="108">
        <v>87691.002999999997</v>
      </c>
      <c r="CI11" s="85">
        <v>5118.6459999999997</v>
      </c>
      <c r="CJ11" s="87"/>
      <c r="CK11" s="140">
        <f>SUM(CB11:CH11)+CJ11</f>
        <v>129011.003</v>
      </c>
      <c r="CL11" s="141">
        <f>(CA11+CK11)</f>
        <v>295934.69799999997</v>
      </c>
      <c r="CM11" s="555" t="s">
        <v>84</v>
      </c>
      <c r="CN11" s="7"/>
      <c r="CO11" s="4"/>
      <c r="CP11" s="244"/>
    </row>
    <row r="12" spans="1:109" ht="27.75" customHeight="1" x14ac:dyDescent="0.15">
      <c r="A12" s="515" t="s">
        <v>295</v>
      </c>
      <c r="B12" s="429"/>
      <c r="C12" s="563" t="s">
        <v>85</v>
      </c>
      <c r="D12" s="89">
        <v>7.7279999999999998</v>
      </c>
      <c r="E12" s="90">
        <v>194986.587</v>
      </c>
      <c r="F12" s="90"/>
      <c r="G12" s="90"/>
      <c r="H12" s="90"/>
      <c r="I12" s="90"/>
      <c r="J12" s="86">
        <f>SUM(G12:I12)</f>
        <v>0</v>
      </c>
      <c r="K12" s="90"/>
      <c r="L12" s="91"/>
      <c r="M12" s="86">
        <f>D12+E12+F12+J12+K12+L12</f>
        <v>194994.315</v>
      </c>
      <c r="N12" s="90"/>
      <c r="O12" s="90">
        <v>11.597</v>
      </c>
      <c r="P12" s="86">
        <f>(N12+O12)</f>
        <v>11.597</v>
      </c>
      <c r="Q12" s="90"/>
      <c r="R12" s="90">
        <v>33611.828999999998</v>
      </c>
      <c r="S12" s="90"/>
      <c r="T12" s="90">
        <v>300.31200000000001</v>
      </c>
      <c r="U12" s="90">
        <v>1436.597</v>
      </c>
      <c r="V12" s="92">
        <v>-193.661</v>
      </c>
      <c r="W12" s="93">
        <f>SUM(Q12:V12)</f>
        <v>35155.076999999997</v>
      </c>
      <c r="X12" s="132" t="s">
        <v>85</v>
      </c>
      <c r="Y12" s="516" t="s">
        <v>323</v>
      </c>
      <c r="Z12" s="429"/>
      <c r="AA12" s="563" t="s">
        <v>85</v>
      </c>
      <c r="AB12" s="111">
        <v>299959.74699999997</v>
      </c>
      <c r="AC12" s="112">
        <v>273832.81599999999</v>
      </c>
      <c r="AD12" s="90">
        <v>59454.457000000002</v>
      </c>
      <c r="AE12" s="90"/>
      <c r="AF12" s="90">
        <v>5954.1719999999996</v>
      </c>
      <c r="AG12" s="90">
        <v>16910</v>
      </c>
      <c r="AH12" s="90">
        <v>115.188</v>
      </c>
      <c r="AI12" s="86">
        <f t="shared" si="1"/>
        <v>108560.74799999998</v>
      </c>
      <c r="AJ12" s="90"/>
      <c r="AK12" s="90"/>
      <c r="AL12" s="113"/>
      <c r="AM12" s="93">
        <f>M12+P12+W12+AI12+AJ12+AK12+AL12</f>
        <v>338721.73699999996</v>
      </c>
      <c r="AN12" s="331"/>
      <c r="AO12" s="111"/>
      <c r="AP12" s="90"/>
      <c r="AQ12" s="86">
        <f>(AO12+AP12)</f>
        <v>0</v>
      </c>
      <c r="AR12" s="90"/>
      <c r="AS12" s="93">
        <f t="shared" si="2"/>
        <v>0</v>
      </c>
      <c r="AT12" s="132" t="s">
        <v>85</v>
      </c>
      <c r="AU12" s="517" t="s">
        <v>324</v>
      </c>
      <c r="AV12" s="429"/>
      <c r="AW12" s="563" t="s">
        <v>85</v>
      </c>
      <c r="AX12" s="111"/>
      <c r="AY12" s="90">
        <v>691.36500000000001</v>
      </c>
      <c r="AZ12" s="90">
        <v>53.814999999999998</v>
      </c>
      <c r="BA12" s="90"/>
      <c r="BB12" s="86">
        <f>SUM(AX12:BA12)</f>
        <v>745.18000000000006</v>
      </c>
      <c r="BC12" s="90"/>
      <c r="BD12" s="90">
        <v>2074.7379999999998</v>
      </c>
      <c r="BE12" s="90">
        <v>14100</v>
      </c>
      <c r="BF12" s="90"/>
      <c r="BG12" s="90"/>
      <c r="BH12" s="90"/>
      <c r="BI12" s="90">
        <v>8586.1</v>
      </c>
      <c r="BJ12" s="90">
        <f>5921.9+24151.277</f>
        <v>30073.176999999996</v>
      </c>
      <c r="BK12" s="93">
        <f>SUM(BC12:BJ12)</f>
        <v>54834.014999999999</v>
      </c>
      <c r="BL12" s="111">
        <v>119700</v>
      </c>
      <c r="BM12" s="90"/>
      <c r="BN12" s="90"/>
      <c r="BO12" s="136">
        <f>SUM(BL12:BN12)</f>
        <v>119700</v>
      </c>
      <c r="BP12" s="132" t="s">
        <v>85</v>
      </c>
      <c r="BQ12" s="516" t="s">
        <v>296</v>
      </c>
      <c r="BR12" s="250" t="s">
        <v>9</v>
      </c>
      <c r="BS12" s="563" t="s">
        <v>85</v>
      </c>
      <c r="BT12" s="136">
        <v>5262.1840000000002</v>
      </c>
      <c r="BU12" s="136"/>
      <c r="BV12" s="136"/>
      <c r="BW12" s="136"/>
      <c r="BX12" s="136">
        <f t="shared" si="0"/>
        <v>5262.1840000000002</v>
      </c>
      <c r="BY12" s="136"/>
      <c r="BZ12" s="136"/>
      <c r="CA12" s="93">
        <f>AS12+BB12+BK12+BO12+BX12+BY12+BZ12</f>
        <v>180541.37900000002</v>
      </c>
      <c r="CB12" s="130">
        <v>16070</v>
      </c>
      <c r="CC12" s="90"/>
      <c r="CD12" s="90"/>
      <c r="CE12" s="90">
        <v>28900</v>
      </c>
      <c r="CF12" s="90"/>
      <c r="CG12" s="90"/>
      <c r="CH12" s="112">
        <f>86809.514+26400.844</f>
        <v>113210.35799999999</v>
      </c>
      <c r="CI12" s="91">
        <v>26400.844000000001</v>
      </c>
      <c r="CJ12" s="92"/>
      <c r="CK12" s="251">
        <f t="shared" si="10"/>
        <v>158180.35800000001</v>
      </c>
      <c r="CL12" s="142">
        <f>(CA12+CK12)</f>
        <v>338721.73700000002</v>
      </c>
      <c r="CM12" s="563" t="s">
        <v>85</v>
      </c>
      <c r="CN12" s="7"/>
      <c r="CO12" s="4"/>
    </row>
    <row r="13" spans="1:109" ht="27.75" customHeight="1" x14ac:dyDescent="0.15">
      <c r="A13" s="515"/>
      <c r="B13" s="429"/>
      <c r="C13" s="563" t="s">
        <v>262</v>
      </c>
      <c r="D13" s="89">
        <v>357.46300000000002</v>
      </c>
      <c r="E13" s="90">
        <v>63193.258999999998</v>
      </c>
      <c r="F13" s="90"/>
      <c r="G13" s="90"/>
      <c r="H13" s="90"/>
      <c r="I13" s="90"/>
      <c r="J13" s="86">
        <f>SUM(G13:I13)</f>
        <v>0</v>
      </c>
      <c r="K13" s="90"/>
      <c r="L13" s="91"/>
      <c r="M13" s="86">
        <f>D13+E13+F13+J13+K13+L13</f>
        <v>63550.722000000002</v>
      </c>
      <c r="N13" s="90"/>
      <c r="O13" s="90"/>
      <c r="P13" s="86">
        <f>(N13+O13)</f>
        <v>0</v>
      </c>
      <c r="Q13" s="90"/>
      <c r="R13" s="90">
        <v>8521.5609999999997</v>
      </c>
      <c r="S13" s="90"/>
      <c r="T13" s="90">
        <v>1631.412</v>
      </c>
      <c r="U13" s="90">
        <v>1727.663</v>
      </c>
      <c r="V13" s="92">
        <v>-59.466999999999999</v>
      </c>
      <c r="W13" s="93">
        <f>SUM(Q13:V13)</f>
        <v>11821.169</v>
      </c>
      <c r="X13" s="132" t="s">
        <v>261</v>
      </c>
      <c r="Y13" s="516"/>
      <c r="Z13" s="429"/>
      <c r="AA13" s="563" t="s">
        <v>261</v>
      </c>
      <c r="AB13" s="111">
        <v>1169265.844</v>
      </c>
      <c r="AC13" s="112">
        <v>663889.54500000004</v>
      </c>
      <c r="AD13" s="90">
        <v>125785.753</v>
      </c>
      <c r="AE13" s="90"/>
      <c r="AF13" s="90">
        <v>617.51700000000005</v>
      </c>
      <c r="AG13" s="90">
        <v>20047.5</v>
      </c>
      <c r="AH13" s="90">
        <v>2000</v>
      </c>
      <c r="AI13" s="86">
        <f>AB13-AC13+AD13+AE13+AF13+AG13+AH13</f>
        <v>653827.06900000002</v>
      </c>
      <c r="AJ13" s="90">
        <v>2405.4059999999999</v>
      </c>
      <c r="AK13" s="90"/>
      <c r="AL13" s="113"/>
      <c r="AM13" s="93">
        <f>M13+P13+W13+AI13+AJ13+AK13+AL13</f>
        <v>731604.36599999992</v>
      </c>
      <c r="AN13" s="6"/>
      <c r="AO13" s="111"/>
      <c r="AP13" s="90"/>
      <c r="AQ13" s="86">
        <f>(AO13+AP13)</f>
        <v>0</v>
      </c>
      <c r="AR13" s="90"/>
      <c r="AS13" s="93">
        <f t="shared" si="2"/>
        <v>0</v>
      </c>
      <c r="AT13" s="132" t="s">
        <v>261</v>
      </c>
      <c r="AU13" s="517"/>
      <c r="AV13" s="429"/>
      <c r="AW13" s="563" t="s">
        <v>261</v>
      </c>
      <c r="AX13" s="111"/>
      <c r="AY13" s="90"/>
      <c r="AZ13" s="90">
        <v>133.261</v>
      </c>
      <c r="BA13" s="90"/>
      <c r="BB13" s="86">
        <f>SUM(AX13:BA13)</f>
        <v>133.261</v>
      </c>
      <c r="BC13" s="90"/>
      <c r="BD13" s="90">
        <v>876.822</v>
      </c>
      <c r="BE13" s="90">
        <v>10000</v>
      </c>
      <c r="BF13" s="90"/>
      <c r="BG13" s="90"/>
      <c r="BH13" s="90"/>
      <c r="BI13" s="90">
        <v>185</v>
      </c>
      <c r="BJ13" s="100">
        <f>6909.7+3474.416</f>
        <v>10384.116</v>
      </c>
      <c r="BK13" s="93">
        <f>SUM(BC13:BJ13)</f>
        <v>21445.938000000002</v>
      </c>
      <c r="BL13" s="111">
        <v>515014</v>
      </c>
      <c r="BM13" s="90"/>
      <c r="BN13" s="90">
        <f>210.816+2153.4</f>
        <v>2364.2159999999999</v>
      </c>
      <c r="BO13" s="136">
        <f>SUM(BL13:BN13)</f>
        <v>517378.21600000001</v>
      </c>
      <c r="BP13" s="132" t="s">
        <v>261</v>
      </c>
      <c r="BQ13" s="516"/>
      <c r="BR13" s="250"/>
      <c r="BS13" s="563" t="s">
        <v>261</v>
      </c>
      <c r="BT13" s="136">
        <v>2425.3049999999998</v>
      </c>
      <c r="BU13" s="136"/>
      <c r="BV13" s="136"/>
      <c r="BW13" s="136"/>
      <c r="BX13" s="136">
        <f t="shared" si="0"/>
        <v>2425.3049999999998</v>
      </c>
      <c r="BY13" s="136"/>
      <c r="BZ13" s="136"/>
      <c r="CA13" s="93">
        <f>AS13+BB13+BK13+BO13+BX13+BY13+BZ13</f>
        <v>541382.72000000009</v>
      </c>
      <c r="CB13" s="130">
        <v>83970</v>
      </c>
      <c r="CC13" s="90"/>
      <c r="CD13" s="90"/>
      <c r="CE13" s="90">
        <v>102950</v>
      </c>
      <c r="CF13" s="90"/>
      <c r="CG13" s="90"/>
      <c r="CH13" s="112">
        <v>3301.6460000000002</v>
      </c>
      <c r="CI13" s="91">
        <v>-3318.5880000000002</v>
      </c>
      <c r="CJ13" s="92"/>
      <c r="CK13" s="93">
        <f>SUM(CB13:CH13)+CJ13</f>
        <v>190221.64600000001</v>
      </c>
      <c r="CL13" s="142">
        <f>(CA13+CK13)</f>
        <v>731604.36600000015</v>
      </c>
      <c r="CM13" s="563" t="s">
        <v>300</v>
      </c>
      <c r="CN13" s="7"/>
      <c r="CO13" s="4"/>
    </row>
    <row r="14" spans="1:109" ht="27.75" customHeight="1" x14ac:dyDescent="0.15">
      <c r="A14" s="515"/>
      <c r="B14" s="429"/>
      <c r="C14" s="563" t="s">
        <v>86</v>
      </c>
      <c r="D14" s="89"/>
      <c r="E14" s="90">
        <v>21004.147000000001</v>
      </c>
      <c r="F14" s="90"/>
      <c r="G14" s="90"/>
      <c r="H14" s="90"/>
      <c r="I14" s="90"/>
      <c r="J14" s="86">
        <f>SUM(G14:I14)</f>
        <v>0</v>
      </c>
      <c r="K14" s="90"/>
      <c r="L14" s="91"/>
      <c r="M14" s="86">
        <f>D14+E14+F14+J14+K14+L14</f>
        <v>21004.147000000001</v>
      </c>
      <c r="N14" s="90"/>
      <c r="O14" s="90"/>
      <c r="P14" s="86">
        <f>(N14+O14)</f>
        <v>0</v>
      </c>
      <c r="Q14" s="90"/>
      <c r="R14" s="90"/>
      <c r="S14" s="90"/>
      <c r="T14" s="90"/>
      <c r="U14" s="90"/>
      <c r="V14" s="92"/>
      <c r="W14" s="93">
        <f>SUM(Q14:V14)</f>
        <v>0</v>
      </c>
      <c r="X14" s="132" t="s">
        <v>86</v>
      </c>
      <c r="Y14" s="516"/>
      <c r="Z14" s="429"/>
      <c r="AA14" s="563" t="s">
        <v>86</v>
      </c>
      <c r="AB14" s="111"/>
      <c r="AC14" s="112"/>
      <c r="AD14" s="90"/>
      <c r="AE14" s="90"/>
      <c r="AF14" s="90">
        <v>103.55800000000001</v>
      </c>
      <c r="AG14" s="90">
        <v>751</v>
      </c>
      <c r="AH14" s="90">
        <v>2300</v>
      </c>
      <c r="AI14" s="86">
        <f t="shared" si="1"/>
        <v>3154.558</v>
      </c>
      <c r="AJ14" s="90"/>
      <c r="AK14" s="113"/>
      <c r="AL14" s="90"/>
      <c r="AM14" s="93">
        <f>M14+P14+W14+AI14+AJ14+AK14+AL14</f>
        <v>24158.705000000002</v>
      </c>
      <c r="AN14" s="6"/>
      <c r="AO14" s="111"/>
      <c r="AP14" s="90"/>
      <c r="AQ14" s="86">
        <f>(AO14+AP14)</f>
        <v>0</v>
      </c>
      <c r="AR14" s="90"/>
      <c r="AS14" s="93">
        <f t="shared" si="2"/>
        <v>0</v>
      </c>
      <c r="AT14" s="132" t="s">
        <v>86</v>
      </c>
      <c r="AU14" s="517"/>
      <c r="AV14" s="429"/>
      <c r="AW14" s="563" t="s">
        <v>86</v>
      </c>
      <c r="AX14" s="111"/>
      <c r="AY14" s="90"/>
      <c r="AZ14" s="90"/>
      <c r="BA14" s="90"/>
      <c r="BB14" s="86">
        <f>SUM(AX14:BA14)</f>
        <v>0</v>
      </c>
      <c r="BC14" s="90"/>
      <c r="BD14" s="90"/>
      <c r="BE14" s="90"/>
      <c r="BF14" s="90"/>
      <c r="BG14" s="90"/>
      <c r="BH14" s="90"/>
      <c r="BI14" s="90">
        <v>267.10000000000002</v>
      </c>
      <c r="BJ14" s="90">
        <f>50+60</f>
        <v>110</v>
      </c>
      <c r="BK14" s="93">
        <f>SUM(BC14:BJ14)</f>
        <v>377.1</v>
      </c>
      <c r="BL14" s="111"/>
      <c r="BM14" s="90"/>
      <c r="BN14" s="90"/>
      <c r="BO14" s="136">
        <f>SUM(BL14:BN14)</f>
        <v>0</v>
      </c>
      <c r="BP14" s="132" t="s">
        <v>86</v>
      </c>
      <c r="BQ14" s="516"/>
      <c r="BR14" s="250" t="s">
        <v>87</v>
      </c>
      <c r="BS14" s="563" t="s">
        <v>86</v>
      </c>
      <c r="BT14" s="136"/>
      <c r="BU14" s="136"/>
      <c r="BV14" s="136"/>
      <c r="BW14" s="136"/>
      <c r="BX14" s="136">
        <f t="shared" si="0"/>
        <v>0</v>
      </c>
      <c r="BY14" s="136"/>
      <c r="BZ14" s="136"/>
      <c r="CA14" s="93">
        <f>AS14+BB14+BK14+BO14+BX14+BY14+BZ14</f>
        <v>377.1</v>
      </c>
      <c r="CB14" s="130">
        <v>7880</v>
      </c>
      <c r="CC14" s="90"/>
      <c r="CD14" s="90"/>
      <c r="CE14" s="90">
        <v>5600</v>
      </c>
      <c r="CF14" s="90"/>
      <c r="CG14" s="90">
        <v>2550</v>
      </c>
      <c r="CH14" s="112">
        <f>7032.67+718.935</f>
        <v>7751.6049999999996</v>
      </c>
      <c r="CI14" s="91">
        <v>718.93499999999995</v>
      </c>
      <c r="CJ14" s="92"/>
      <c r="CK14" s="93">
        <f>SUM(CB14:CH14)+CJ14</f>
        <v>23781.605</v>
      </c>
      <c r="CL14" s="142">
        <f>(CA14+CK14)</f>
        <v>24158.704999999998</v>
      </c>
      <c r="CM14" s="563" t="s">
        <v>86</v>
      </c>
      <c r="CN14" s="7"/>
      <c r="CO14" s="4"/>
    </row>
    <row r="15" spans="1:109" ht="27.75" customHeight="1" x14ac:dyDescent="0.15">
      <c r="B15" s="430"/>
      <c r="C15" s="59" t="s">
        <v>250</v>
      </c>
      <c r="D15" s="94">
        <f>SUM(D11:D14)</f>
        <v>534.69399999999996</v>
      </c>
      <c r="E15" s="96">
        <f t="shared" ref="E15:N15" si="11">SUM(E11:E14)</f>
        <v>323033.55599999998</v>
      </c>
      <c r="F15" s="96">
        <f t="shared" si="11"/>
        <v>0</v>
      </c>
      <c r="G15" s="96">
        <f t="shared" si="11"/>
        <v>0</v>
      </c>
      <c r="H15" s="96">
        <f t="shared" si="11"/>
        <v>0</v>
      </c>
      <c r="I15" s="96">
        <f t="shared" si="11"/>
        <v>0</v>
      </c>
      <c r="J15" s="96">
        <f t="shared" si="11"/>
        <v>0</v>
      </c>
      <c r="K15" s="96">
        <f t="shared" si="11"/>
        <v>0</v>
      </c>
      <c r="L15" s="97">
        <f t="shared" si="11"/>
        <v>0</v>
      </c>
      <c r="M15" s="96">
        <f t="shared" si="11"/>
        <v>323568.25</v>
      </c>
      <c r="N15" s="96">
        <f t="shared" si="11"/>
        <v>0</v>
      </c>
      <c r="O15" s="96">
        <f t="shared" ref="O15:AC15" si="12">SUM(O11:O14)</f>
        <v>11.597</v>
      </c>
      <c r="P15" s="96">
        <f t="shared" si="12"/>
        <v>11.597</v>
      </c>
      <c r="Q15" s="96">
        <f>SUM(Q11:Q14)</f>
        <v>0</v>
      </c>
      <c r="R15" s="96">
        <f t="shared" si="12"/>
        <v>53387.686000000002</v>
      </c>
      <c r="S15" s="96">
        <f t="shared" si="12"/>
        <v>0</v>
      </c>
      <c r="T15" s="96">
        <f t="shared" si="12"/>
        <v>2040.884</v>
      </c>
      <c r="U15" s="96">
        <f t="shared" si="12"/>
        <v>3164.26</v>
      </c>
      <c r="V15" s="98">
        <f t="shared" si="12"/>
        <v>-365.66999999999996</v>
      </c>
      <c r="W15" s="99">
        <f t="shared" si="12"/>
        <v>58227.159999999996</v>
      </c>
      <c r="X15" s="133" t="s">
        <v>88</v>
      </c>
      <c r="Y15" s="198"/>
      <c r="Z15" s="430"/>
      <c r="AA15" s="59" t="s">
        <v>88</v>
      </c>
      <c r="AB15" s="116">
        <f t="shared" si="12"/>
        <v>1729534.7209999999</v>
      </c>
      <c r="AC15" s="123">
        <f t="shared" si="12"/>
        <v>1051996.797</v>
      </c>
      <c r="AD15" s="96">
        <f t="shared" ref="AD15:AJ15" si="13">SUM(AD11:AD14)</f>
        <v>274455.91500000004</v>
      </c>
      <c r="AE15" s="95">
        <f t="shared" si="13"/>
        <v>0</v>
      </c>
      <c r="AF15" s="96">
        <f t="shared" si="13"/>
        <v>7023.7709999999997</v>
      </c>
      <c r="AG15" s="96">
        <f t="shared" si="13"/>
        <v>41318.5</v>
      </c>
      <c r="AH15" s="117">
        <f t="shared" si="13"/>
        <v>5870.9830000000002</v>
      </c>
      <c r="AI15" s="118">
        <f t="shared" si="1"/>
        <v>1006207.0929999999</v>
      </c>
      <c r="AJ15" s="117">
        <f t="shared" si="13"/>
        <v>2405.4059999999999</v>
      </c>
      <c r="AK15" s="259">
        <f>SUM(AK11:AK14)</f>
        <v>0</v>
      </c>
      <c r="AL15" s="259">
        <f>SUM(AL11:AL14)</f>
        <v>0</v>
      </c>
      <c r="AM15" s="122">
        <f>SUM(AM11:AM14)</f>
        <v>1390419.5060000001</v>
      </c>
      <c r="AN15" s="6"/>
      <c r="AO15" s="129">
        <f t="shared" ref="AO15:AX15" si="14">SUM(AO11:AO14)</f>
        <v>0</v>
      </c>
      <c r="AP15" s="96">
        <f t="shared" si="14"/>
        <v>0</v>
      </c>
      <c r="AQ15" s="96">
        <f t="shared" si="14"/>
        <v>0</v>
      </c>
      <c r="AR15" s="96">
        <f t="shared" si="14"/>
        <v>0</v>
      </c>
      <c r="AS15" s="99">
        <f t="shared" si="2"/>
        <v>0</v>
      </c>
      <c r="AT15" s="133" t="s">
        <v>88</v>
      </c>
      <c r="AU15" s="198"/>
      <c r="AV15" s="430"/>
      <c r="AW15" s="59" t="s">
        <v>88</v>
      </c>
      <c r="AX15" s="129">
        <f t="shared" si="14"/>
        <v>0</v>
      </c>
      <c r="AY15" s="96">
        <f t="shared" ref="AY15:BG15" si="15">SUM(AY11:AY14)</f>
        <v>691.36500000000001</v>
      </c>
      <c r="AZ15" s="96">
        <f t="shared" si="15"/>
        <v>187.07599999999999</v>
      </c>
      <c r="BA15" s="96">
        <f t="shared" si="15"/>
        <v>0</v>
      </c>
      <c r="BB15" s="96">
        <f t="shared" si="15"/>
        <v>878.44100000000003</v>
      </c>
      <c r="BC15" s="96">
        <f t="shared" si="15"/>
        <v>0</v>
      </c>
      <c r="BD15" s="96">
        <f t="shared" si="15"/>
        <v>7576.4359999999997</v>
      </c>
      <c r="BE15" s="96">
        <f t="shared" si="15"/>
        <v>24100</v>
      </c>
      <c r="BF15" s="96">
        <f t="shared" si="15"/>
        <v>0</v>
      </c>
      <c r="BG15" s="96">
        <f t="shared" si="15"/>
        <v>0</v>
      </c>
      <c r="BH15" s="96">
        <f t="shared" ref="BH15:BM15" si="16">SUM(BH11:BH14)</f>
        <v>0</v>
      </c>
      <c r="BI15" s="96">
        <f t="shared" si="16"/>
        <v>9223.2000000000007</v>
      </c>
      <c r="BJ15" s="96">
        <f>SUM(BJ11:BJ14)</f>
        <v>42558.552999999993</v>
      </c>
      <c r="BK15" s="99">
        <f t="shared" si="16"/>
        <v>83458.189000000013</v>
      </c>
      <c r="BL15" s="129">
        <f t="shared" si="16"/>
        <v>794070</v>
      </c>
      <c r="BM15" s="96">
        <f t="shared" si="16"/>
        <v>0</v>
      </c>
      <c r="BN15" s="96">
        <f>SUM(BN12:BN14)</f>
        <v>2364.2159999999999</v>
      </c>
      <c r="BO15" s="121">
        <f>SUM(BO11:BO14)</f>
        <v>796434.21600000001</v>
      </c>
      <c r="BP15" s="133" t="s">
        <v>88</v>
      </c>
      <c r="BQ15" s="198"/>
      <c r="BR15" s="260"/>
      <c r="BS15" s="59" t="s">
        <v>88</v>
      </c>
      <c r="BT15" s="136">
        <f t="shared" ref="BT15:CA15" si="17">SUM(BT11:BT14)</f>
        <v>8454.0480000000007</v>
      </c>
      <c r="BU15" s="136">
        <f t="shared" si="17"/>
        <v>0</v>
      </c>
      <c r="BV15" s="136">
        <f t="shared" si="17"/>
        <v>0</v>
      </c>
      <c r="BW15" s="136">
        <f t="shared" si="17"/>
        <v>0</v>
      </c>
      <c r="BX15" s="136">
        <f t="shared" si="17"/>
        <v>8454.0480000000007</v>
      </c>
      <c r="BY15" s="121">
        <f t="shared" si="17"/>
        <v>0</v>
      </c>
      <c r="BZ15" s="121">
        <f t="shared" si="17"/>
        <v>0</v>
      </c>
      <c r="CA15" s="99">
        <f t="shared" si="17"/>
        <v>889224.89400000009</v>
      </c>
      <c r="CB15" s="116">
        <f t="shared" ref="CB15:CI15" si="18">SUM(CB11:CB14)</f>
        <v>119240</v>
      </c>
      <c r="CC15" s="96">
        <f t="shared" si="18"/>
        <v>0</v>
      </c>
      <c r="CD15" s="96">
        <f t="shared" si="18"/>
        <v>0</v>
      </c>
      <c r="CE15" s="96">
        <f t="shared" si="18"/>
        <v>167450</v>
      </c>
      <c r="CF15" s="96">
        <f>SUM(CF11:CF14)</f>
        <v>0</v>
      </c>
      <c r="CG15" s="96">
        <f>SUM(CG11:CG14)</f>
        <v>2550</v>
      </c>
      <c r="CH15" s="123">
        <f t="shared" si="18"/>
        <v>211954.61199999999</v>
      </c>
      <c r="CI15" s="97">
        <f t="shared" si="18"/>
        <v>28919.837000000003</v>
      </c>
      <c r="CJ15" s="98">
        <f>SUM(CJ11:CJ14)</f>
        <v>0</v>
      </c>
      <c r="CK15" s="261">
        <f t="shared" si="10"/>
        <v>501194.61199999996</v>
      </c>
      <c r="CL15" s="143">
        <f>SUM(CL11:CL14)</f>
        <v>1390419.5060000003</v>
      </c>
      <c r="CM15" s="59" t="s">
        <v>88</v>
      </c>
      <c r="CN15" s="7"/>
      <c r="CO15" s="4"/>
    </row>
    <row r="16" spans="1:109" ht="27.75" customHeight="1" x14ac:dyDescent="0.15">
      <c r="B16" s="428" t="s">
        <v>177</v>
      </c>
      <c r="C16" s="555" t="s">
        <v>258</v>
      </c>
      <c r="D16" s="274">
        <v>47.265999999999998</v>
      </c>
      <c r="E16" s="83">
        <v>297242.07199999999</v>
      </c>
      <c r="F16" s="83"/>
      <c r="G16" s="83"/>
      <c r="H16" s="83"/>
      <c r="I16" s="83"/>
      <c r="J16" s="84"/>
      <c r="K16" s="83"/>
      <c r="L16" s="85"/>
      <c r="M16" s="84">
        <f>D16+E16+F16+J16+K16+L16</f>
        <v>297289.33799999999</v>
      </c>
      <c r="N16" s="83"/>
      <c r="O16" s="83"/>
      <c r="P16" s="84">
        <v>0</v>
      </c>
      <c r="Q16" s="83"/>
      <c r="R16" s="83">
        <v>2405.3359999999998</v>
      </c>
      <c r="S16" s="83"/>
      <c r="T16" s="83"/>
      <c r="U16" s="83">
        <f>1302.471+9370.3</f>
        <v>10672.770999999999</v>
      </c>
      <c r="V16" s="87">
        <v>-14.72</v>
      </c>
      <c r="W16" s="93">
        <f>SUM(Q16:V16)</f>
        <v>13063.386999999999</v>
      </c>
      <c r="X16" s="562" t="s">
        <v>259</v>
      </c>
      <c r="Y16" s="198"/>
      <c r="Z16" s="428" t="s">
        <v>177</v>
      </c>
      <c r="AA16" s="555" t="s">
        <v>259</v>
      </c>
      <c r="AB16" s="107">
        <v>625337.28599999996</v>
      </c>
      <c r="AC16" s="108">
        <v>475203.68</v>
      </c>
      <c r="AD16" s="83">
        <v>110708.965</v>
      </c>
      <c r="AE16" s="275"/>
      <c r="AF16" s="83">
        <v>689.67399999999998</v>
      </c>
      <c r="AG16" s="83">
        <v>22980</v>
      </c>
      <c r="AH16" s="83">
        <v>1771.9079999999999</v>
      </c>
      <c r="AI16" s="84">
        <f t="shared" si="1"/>
        <v>286284.15299999999</v>
      </c>
      <c r="AJ16" s="83"/>
      <c r="AK16" s="83"/>
      <c r="AL16" s="109"/>
      <c r="AM16" s="88">
        <f>M16+P16+W16+AI16+AJ16+AK16+AL16</f>
        <v>596636.87800000003</v>
      </c>
      <c r="AN16" s="331"/>
      <c r="AO16" s="107"/>
      <c r="AP16" s="83"/>
      <c r="AQ16" s="84">
        <f>(AO16+AP16)</f>
        <v>0</v>
      </c>
      <c r="AR16" s="83"/>
      <c r="AS16" s="88">
        <f t="shared" si="2"/>
        <v>0</v>
      </c>
      <c r="AT16" s="562" t="s">
        <v>259</v>
      </c>
      <c r="AU16" s="198"/>
      <c r="AV16" s="428" t="s">
        <v>177</v>
      </c>
      <c r="AW16" s="555" t="s">
        <v>259</v>
      </c>
      <c r="AX16" s="107"/>
      <c r="AY16" s="83"/>
      <c r="AZ16" s="83"/>
      <c r="BA16" s="83"/>
      <c r="BB16" s="84">
        <v>0</v>
      </c>
      <c r="BC16" s="83"/>
      <c r="BD16" s="83">
        <v>2599.8580000000002</v>
      </c>
      <c r="BE16" s="83"/>
      <c r="BF16" s="83"/>
      <c r="BG16" s="83"/>
      <c r="BH16" s="83"/>
      <c r="BI16" s="83">
        <v>185</v>
      </c>
      <c r="BJ16" s="83">
        <v>3764.5929999999998</v>
      </c>
      <c r="BK16" s="88">
        <f>SUM(BC16:BJ16)</f>
        <v>6549.451</v>
      </c>
      <c r="BL16" s="107">
        <v>530477.755</v>
      </c>
      <c r="BM16" s="83"/>
      <c r="BN16" s="83"/>
      <c r="BO16" s="135">
        <f>SUM(BL16:BN16)</f>
        <v>530477.755</v>
      </c>
      <c r="BP16" s="562" t="s">
        <v>259</v>
      </c>
      <c r="BQ16" s="198"/>
      <c r="BR16" s="428" t="s">
        <v>177</v>
      </c>
      <c r="BS16" s="555" t="s">
        <v>259</v>
      </c>
      <c r="BT16" s="135">
        <v>965.71</v>
      </c>
      <c r="BU16" s="135"/>
      <c r="BV16" s="135"/>
      <c r="BW16" s="135"/>
      <c r="BX16" s="135">
        <f t="shared" si="0"/>
        <v>965.71</v>
      </c>
      <c r="BY16" s="135"/>
      <c r="BZ16" s="135"/>
      <c r="CA16" s="88">
        <f>AS16+BB16+BK16+BO16+BX16+BY16+BZ16</f>
        <v>537992.91599999997</v>
      </c>
      <c r="CB16" s="139">
        <v>22000</v>
      </c>
      <c r="CC16" s="83"/>
      <c r="CD16" s="83"/>
      <c r="CE16" s="83">
        <v>44000</v>
      </c>
      <c r="CF16" s="83"/>
      <c r="CG16" s="83">
        <v>100000</v>
      </c>
      <c r="CH16" s="108">
        <v>-107356.038</v>
      </c>
      <c r="CI16" s="85">
        <v>-21114.93</v>
      </c>
      <c r="CJ16" s="87"/>
      <c r="CK16" s="88">
        <f t="shared" si="10"/>
        <v>58643.962</v>
      </c>
      <c r="CL16" s="141">
        <f>(CA16+CK16)</f>
        <v>596636.87800000003</v>
      </c>
      <c r="CM16" s="555" t="s">
        <v>259</v>
      </c>
      <c r="CN16" s="7"/>
      <c r="CO16" s="4"/>
    </row>
    <row r="17" spans="2:93" ht="27.75" customHeight="1" x14ac:dyDescent="0.15">
      <c r="B17" s="429"/>
      <c r="C17" s="563" t="s">
        <v>199</v>
      </c>
      <c r="D17" s="90">
        <v>530.71799999999996</v>
      </c>
      <c r="E17" s="90">
        <v>63452.607000000004</v>
      </c>
      <c r="F17" s="90"/>
      <c r="G17" s="90"/>
      <c r="H17" s="90"/>
      <c r="I17" s="90"/>
      <c r="J17" s="86">
        <f>SUM(G17:I17)</f>
        <v>0</v>
      </c>
      <c r="K17" s="90"/>
      <c r="L17" s="91"/>
      <c r="M17" s="86">
        <f>D17+E17+F17+J17+K17+L17</f>
        <v>63983.325000000004</v>
      </c>
      <c r="N17" s="90"/>
      <c r="O17" s="90"/>
      <c r="P17" s="86">
        <f>(N17+O17)</f>
        <v>0</v>
      </c>
      <c r="Q17" s="90"/>
      <c r="R17" s="90">
        <v>50267.565999999999</v>
      </c>
      <c r="S17" s="90"/>
      <c r="T17" s="90">
        <v>40184.887000000002</v>
      </c>
      <c r="U17" s="90">
        <v>2385.8870000000002</v>
      </c>
      <c r="V17" s="92">
        <v>-307.75700000000001</v>
      </c>
      <c r="W17" s="93">
        <f>SUM(Q17:V17)</f>
        <v>92530.583000000013</v>
      </c>
      <c r="X17" s="132" t="s">
        <v>199</v>
      </c>
      <c r="Y17" s="198"/>
      <c r="Z17" s="429"/>
      <c r="AA17" s="563" t="s">
        <v>199</v>
      </c>
      <c r="AB17" s="111">
        <v>474285.73300000001</v>
      </c>
      <c r="AC17" s="112">
        <v>186756.11499999999</v>
      </c>
      <c r="AD17" s="90">
        <v>168449.03099999999</v>
      </c>
      <c r="AE17" s="100"/>
      <c r="AF17" s="90">
        <v>1445.11</v>
      </c>
      <c r="AG17" s="90">
        <v>24630</v>
      </c>
      <c r="AH17" s="90">
        <v>5242.5140000000001</v>
      </c>
      <c r="AI17" s="86">
        <f>AB17-AC17+AD17+AE17+AF17+AG17+AH17</f>
        <v>487296.27299999999</v>
      </c>
      <c r="AJ17" s="90"/>
      <c r="AK17" s="100"/>
      <c r="AL17" s="113"/>
      <c r="AM17" s="286">
        <f>M17+P17+W17+AI17+AJ17+AK17+AL17</f>
        <v>643810.18099999998</v>
      </c>
      <c r="AN17" s="6"/>
      <c r="AO17" s="111"/>
      <c r="AP17" s="90"/>
      <c r="AQ17" s="86">
        <f>(AO17+AP17)</f>
        <v>0</v>
      </c>
      <c r="AR17" s="90"/>
      <c r="AS17" s="93">
        <f t="shared" si="2"/>
        <v>0</v>
      </c>
      <c r="AT17" s="132" t="s">
        <v>199</v>
      </c>
      <c r="AU17" s="198"/>
      <c r="AV17" s="429"/>
      <c r="AW17" s="563" t="s">
        <v>199</v>
      </c>
      <c r="AX17" s="111"/>
      <c r="AY17" s="90"/>
      <c r="AZ17" s="90"/>
      <c r="BA17" s="90">
        <v>39.911000000000001</v>
      </c>
      <c r="BB17" s="86">
        <f>SUM(AX17:BA17)</f>
        <v>39.911000000000001</v>
      </c>
      <c r="BC17" s="90"/>
      <c r="BD17" s="90">
        <v>2977.7489999999998</v>
      </c>
      <c r="BE17" s="90"/>
      <c r="BF17" s="90"/>
      <c r="BG17" s="90"/>
      <c r="BH17" s="90"/>
      <c r="BI17" s="90">
        <v>185</v>
      </c>
      <c r="BJ17" s="90">
        <v>10953.349</v>
      </c>
      <c r="BK17" s="93">
        <f>SUM(BC17:BJ17)</f>
        <v>14116.098</v>
      </c>
      <c r="BL17" s="111">
        <v>541290</v>
      </c>
      <c r="BM17" s="90"/>
      <c r="BN17" s="90">
        <f>76520+410</f>
        <v>76930</v>
      </c>
      <c r="BO17" s="136">
        <f>SUM(BL17:BN17)</f>
        <v>618220</v>
      </c>
      <c r="BP17" s="132" t="s">
        <v>199</v>
      </c>
      <c r="BQ17" s="198"/>
      <c r="BR17" s="429"/>
      <c r="BS17" s="563" t="s">
        <v>199</v>
      </c>
      <c r="BT17" s="136">
        <v>3694.7280000000001</v>
      </c>
      <c r="BU17" s="136"/>
      <c r="BV17" s="136"/>
      <c r="BW17" s="136">
        <f>4944.728-3694.728</f>
        <v>1250</v>
      </c>
      <c r="BX17" s="136">
        <f t="shared" si="0"/>
        <v>4944.7280000000001</v>
      </c>
      <c r="BY17" s="136"/>
      <c r="BZ17" s="136"/>
      <c r="CA17" s="93">
        <f>AS17+BB17+BK17+BO17+BX17+BY17+BZ17</f>
        <v>637320.73699999996</v>
      </c>
      <c r="CB17" s="130">
        <v>18800</v>
      </c>
      <c r="CC17" s="90"/>
      <c r="CD17" s="90">
        <v>31.091999999999999</v>
      </c>
      <c r="CE17" s="90"/>
      <c r="CF17" s="90"/>
      <c r="CG17" s="90"/>
      <c r="CH17" s="112">
        <v>-12341.647999999999</v>
      </c>
      <c r="CI17" s="91">
        <v>2140.9259999999999</v>
      </c>
      <c r="CJ17" s="92"/>
      <c r="CK17" s="251">
        <f t="shared" si="10"/>
        <v>6489.4440000000013</v>
      </c>
      <c r="CL17" s="142">
        <f>(CA17+CK17)</f>
        <v>643810.18099999998</v>
      </c>
      <c r="CM17" s="563" t="s">
        <v>301</v>
      </c>
      <c r="CN17" s="7"/>
      <c r="CO17" s="4"/>
    </row>
    <row r="18" spans="2:93" ht="27.75" customHeight="1" x14ac:dyDescent="0.15">
      <c r="B18" s="429"/>
      <c r="C18" s="563" t="s">
        <v>200</v>
      </c>
      <c r="D18" s="289"/>
      <c r="E18" s="90">
        <v>239749.68700000001</v>
      </c>
      <c r="F18" s="90"/>
      <c r="G18" s="90"/>
      <c r="H18" s="90"/>
      <c r="I18" s="90"/>
      <c r="J18" s="86">
        <f>SUM(G18:I18)</f>
        <v>0</v>
      </c>
      <c r="K18" s="90"/>
      <c r="L18" s="91"/>
      <c r="M18" s="86">
        <f>D18+E18+F18+J18+K18+L18</f>
        <v>239749.68700000001</v>
      </c>
      <c r="N18" s="90"/>
      <c r="O18" s="90"/>
      <c r="P18" s="86">
        <f>(N18+O18)</f>
        <v>0</v>
      </c>
      <c r="Q18" s="90"/>
      <c r="R18" s="90"/>
      <c r="S18" s="90"/>
      <c r="T18" s="90">
        <v>968.66700000000003</v>
      </c>
      <c r="U18" s="290">
        <v>17703.134999999998</v>
      </c>
      <c r="V18" s="291">
        <v>-121.943</v>
      </c>
      <c r="W18" s="292">
        <f>SUM(Q18:V18)</f>
        <v>18549.859</v>
      </c>
      <c r="X18" s="132" t="s">
        <v>200</v>
      </c>
      <c r="Y18" s="198"/>
      <c r="Z18" s="429"/>
      <c r="AA18" s="563" t="s">
        <v>200</v>
      </c>
      <c r="AB18" s="111">
        <v>322033.73300000001</v>
      </c>
      <c r="AC18" s="112">
        <v>264385.40500000003</v>
      </c>
      <c r="AD18" s="90">
        <v>62005.057999999997</v>
      </c>
      <c r="AE18" s="100"/>
      <c r="AF18" s="90">
        <v>451.5</v>
      </c>
      <c r="AG18" s="90">
        <v>2110</v>
      </c>
      <c r="AH18" s="290"/>
      <c r="AI18" s="118">
        <f>AB18-AC18+AD18+AE18+AF18+AG18+AH18</f>
        <v>122214.88599999997</v>
      </c>
      <c r="AJ18" s="290"/>
      <c r="AK18" s="290"/>
      <c r="AL18" s="113"/>
      <c r="AM18" s="93">
        <f>M18+P18+W18+AI18+AJ18+AK18+AL18</f>
        <v>380514.43199999997</v>
      </c>
      <c r="AN18" s="6"/>
      <c r="AO18" s="130"/>
      <c r="AP18" s="100"/>
      <c r="AQ18" s="293">
        <f>(AO18+AP18)</f>
        <v>0</v>
      </c>
      <c r="AR18" s="100"/>
      <c r="AS18" s="93">
        <f t="shared" si="2"/>
        <v>0</v>
      </c>
      <c r="AT18" s="132" t="s">
        <v>200</v>
      </c>
      <c r="AU18" s="198"/>
      <c r="AV18" s="429"/>
      <c r="AW18" s="563" t="s">
        <v>200</v>
      </c>
      <c r="AX18" s="111"/>
      <c r="AY18" s="90"/>
      <c r="AZ18" s="90"/>
      <c r="BA18" s="90"/>
      <c r="BB18" s="86">
        <f>SUM(AX18:BA18)</f>
        <v>0</v>
      </c>
      <c r="BC18" s="90"/>
      <c r="BD18" s="90">
        <v>7355.777</v>
      </c>
      <c r="BE18" s="90"/>
      <c r="BF18" s="90"/>
      <c r="BG18" s="90"/>
      <c r="BH18" s="90"/>
      <c r="BI18" s="90">
        <v>5518</v>
      </c>
      <c r="BJ18" s="90">
        <v>7295.2219999999998</v>
      </c>
      <c r="BK18" s="93">
        <f>SUM(BC18:BJ18)</f>
        <v>20168.999</v>
      </c>
      <c r="BL18" s="111"/>
      <c r="BM18" s="90">
        <v>3036.1439999999998</v>
      </c>
      <c r="BN18" s="90"/>
      <c r="BO18" s="136">
        <f>SUM(BL18:BN18)</f>
        <v>3036.1439999999998</v>
      </c>
      <c r="BP18" s="132" t="s">
        <v>200</v>
      </c>
      <c r="BQ18" s="198"/>
      <c r="BR18" s="429"/>
      <c r="BS18" s="563" t="s">
        <v>200</v>
      </c>
      <c r="BT18" s="136">
        <v>2891.922</v>
      </c>
      <c r="BU18" s="136"/>
      <c r="BV18" s="136"/>
      <c r="BW18" s="136">
        <v>1100</v>
      </c>
      <c r="BX18" s="136">
        <f t="shared" si="0"/>
        <v>3991.922</v>
      </c>
      <c r="BY18" s="136"/>
      <c r="BZ18" s="136"/>
      <c r="CA18" s="93">
        <f>AS18+BB18+BK18+BO18+BX18+BY18+BZ18</f>
        <v>27197.064999999999</v>
      </c>
      <c r="CB18" s="130">
        <v>147600</v>
      </c>
      <c r="CC18" s="90"/>
      <c r="CD18" s="90">
        <v>51122.12</v>
      </c>
      <c r="CE18" s="90">
        <v>36877.141000000003</v>
      </c>
      <c r="CF18" s="90"/>
      <c r="CG18" s="90">
        <v>98015.782999999996</v>
      </c>
      <c r="CH18" s="112">
        <v>19702.323</v>
      </c>
      <c r="CI18" s="91">
        <v>19702.323</v>
      </c>
      <c r="CJ18" s="294"/>
      <c r="CK18" s="93">
        <f>SUM(CB18:CH18)+CJ18</f>
        <v>353317.36699999997</v>
      </c>
      <c r="CL18" s="142">
        <f>(CA18+CK18)</f>
        <v>380514.43199999997</v>
      </c>
      <c r="CM18" s="563" t="s">
        <v>200</v>
      </c>
      <c r="CN18" s="7"/>
      <c r="CO18" s="4"/>
    </row>
    <row r="19" spans="2:93" ht="27.75" customHeight="1" x14ac:dyDescent="0.15">
      <c r="B19" s="429"/>
      <c r="C19" s="563" t="s">
        <v>201</v>
      </c>
      <c r="D19" s="332">
        <v>84.216999999999999</v>
      </c>
      <c r="E19" s="333">
        <f>52863.751+22044.809+12120.004+38100</f>
        <v>125128.564</v>
      </c>
      <c r="F19" s="90"/>
      <c r="G19" s="90"/>
      <c r="H19" s="90"/>
      <c r="I19" s="90"/>
      <c r="J19" s="86">
        <f>SUM(G19:I19)</f>
        <v>0</v>
      </c>
      <c r="K19" s="90"/>
      <c r="L19" s="91"/>
      <c r="M19" s="86">
        <f>D19+E19+F19+J19+K19+L19</f>
        <v>125212.781</v>
      </c>
      <c r="N19" s="90"/>
      <c r="O19" s="90"/>
      <c r="P19" s="86">
        <f>(N19+O19)</f>
        <v>0</v>
      </c>
      <c r="Q19" s="90"/>
      <c r="R19" s="90">
        <f>40876.042+37480.841+39512.769+9911.922+11048.324+771.824</f>
        <v>139601.72200000001</v>
      </c>
      <c r="S19" s="100"/>
      <c r="T19" s="90">
        <f>132620.971+255592.854+3363.2117+11882.386</f>
        <v>403459.42269999994</v>
      </c>
      <c r="U19" s="90">
        <f>334+4991.635+3448.367+4255.144</f>
        <v>13029.146000000001</v>
      </c>
      <c r="V19" s="92"/>
      <c r="W19" s="93">
        <f>SUM(Q19:V19)</f>
        <v>556090.2906999999</v>
      </c>
      <c r="X19" s="132" t="s">
        <v>201</v>
      </c>
      <c r="Y19" s="198"/>
      <c r="Z19" s="429"/>
      <c r="AA19" s="563" t="s">
        <v>201</v>
      </c>
      <c r="AB19" s="111">
        <f>1657757.017-482175.786</f>
        <v>1175581.2309999999</v>
      </c>
      <c r="AC19" s="112"/>
      <c r="AD19" s="90">
        <v>482175.78600000002</v>
      </c>
      <c r="AE19" s="100"/>
      <c r="AF19" s="90">
        <v>9376.1939999999995</v>
      </c>
      <c r="AG19" s="90">
        <f>2000+9420+4290</f>
        <v>15710</v>
      </c>
      <c r="AH19" s="90">
        <f>17903.696+80895.394+6022</f>
        <v>104821.09</v>
      </c>
      <c r="AI19" s="86">
        <f>AB19-AC19+AD19+AE19+AF19+AG19+AH19</f>
        <v>1787664.301</v>
      </c>
      <c r="AJ19" s="90"/>
      <c r="AK19" s="90"/>
      <c r="AL19" s="113"/>
      <c r="AM19" s="286">
        <f>M19+P19+W19+AI19+AJ19+AK19+AL19</f>
        <v>2468967.3726999997</v>
      </c>
      <c r="AN19" s="331"/>
      <c r="AO19" s="130"/>
      <c r="AP19" s="100"/>
      <c r="AQ19" s="293">
        <f>(AO19+AP19)</f>
        <v>0</v>
      </c>
      <c r="AR19" s="100"/>
      <c r="AS19" s="93">
        <f t="shared" si="2"/>
        <v>0</v>
      </c>
      <c r="AT19" s="132" t="s">
        <v>201</v>
      </c>
      <c r="AU19" s="198"/>
      <c r="AV19" s="429"/>
      <c r="AW19" s="563" t="s">
        <v>201</v>
      </c>
      <c r="AX19" s="111"/>
      <c r="AY19" s="90"/>
      <c r="AZ19" s="90"/>
      <c r="BA19" s="90"/>
      <c r="BB19" s="86">
        <f>SUM(AX19:BA19)</f>
        <v>0</v>
      </c>
      <c r="BC19" s="90"/>
      <c r="BD19" s="333">
        <f>12487.912+19708.215</f>
        <v>32196.127</v>
      </c>
      <c r="BE19" s="90">
        <f>724000</f>
        <v>724000</v>
      </c>
      <c r="BF19" s="90"/>
      <c r="BG19" s="90"/>
      <c r="BH19" s="90">
        <v>3800</v>
      </c>
      <c r="BI19" s="90">
        <v>185</v>
      </c>
      <c r="BJ19" s="90">
        <f>30926.892+1301.032+2700+9622.3+55.02</f>
        <v>44605.243999999999</v>
      </c>
      <c r="BK19" s="93">
        <f>SUM(BC19:BJ19)</f>
        <v>804786.37099999993</v>
      </c>
      <c r="BL19" s="111">
        <v>1566099</v>
      </c>
      <c r="BM19" s="90">
        <v>5000</v>
      </c>
      <c r="BN19" s="90"/>
      <c r="BO19" s="136">
        <f>SUM(BL19:BN19)</f>
        <v>1571099</v>
      </c>
      <c r="BP19" s="132" t="s">
        <v>201</v>
      </c>
      <c r="BQ19" s="198"/>
      <c r="BR19" s="429"/>
      <c r="BS19" s="563" t="s">
        <v>201</v>
      </c>
      <c r="BT19" s="136"/>
      <c r="BU19" s="136"/>
      <c r="BV19" s="136"/>
      <c r="BW19" s="136"/>
      <c r="BX19" s="136">
        <f t="shared" si="0"/>
        <v>0</v>
      </c>
      <c r="BY19" s="136"/>
      <c r="BZ19" s="136"/>
      <c r="CA19" s="93">
        <f>AS19+BB19+BK19+BO19+BX19+BY19+BZ19</f>
        <v>2375885.3709999998</v>
      </c>
      <c r="CB19" s="130">
        <v>95400</v>
      </c>
      <c r="CC19" s="90"/>
      <c r="CD19" s="90">
        <v>3259.9870000000001</v>
      </c>
      <c r="CE19" s="90">
        <v>43920</v>
      </c>
      <c r="CF19" s="90"/>
      <c r="CG19" s="90">
        <v>63000</v>
      </c>
      <c r="CH19" s="112">
        <v>-112497.98</v>
      </c>
      <c r="CI19" s="91">
        <v>9285.9549999999999</v>
      </c>
      <c r="CJ19" s="92"/>
      <c r="CK19" s="93">
        <f t="shared" si="10"/>
        <v>93082.006999999998</v>
      </c>
      <c r="CL19" s="142">
        <f>(CA19+CK19)</f>
        <v>2468967.378</v>
      </c>
      <c r="CM19" s="563" t="s">
        <v>201</v>
      </c>
      <c r="CN19" s="7"/>
      <c r="CO19" s="4"/>
    </row>
    <row r="20" spans="2:93" ht="27.75" customHeight="1" x14ac:dyDescent="0.15">
      <c r="B20" s="430"/>
      <c r="C20" s="59" t="s">
        <v>178</v>
      </c>
      <c r="D20" s="334">
        <f t="shared" ref="D20:N20" si="19">SUM(D16:D19)</f>
        <v>662.20099999999991</v>
      </c>
      <c r="E20" s="96">
        <f t="shared" si="19"/>
        <v>725572.93</v>
      </c>
      <c r="F20" s="96">
        <f t="shared" si="19"/>
        <v>0</v>
      </c>
      <c r="G20" s="96">
        <f t="shared" si="19"/>
        <v>0</v>
      </c>
      <c r="H20" s="96">
        <f t="shared" si="19"/>
        <v>0</v>
      </c>
      <c r="I20" s="96">
        <f t="shared" si="19"/>
        <v>0</v>
      </c>
      <c r="J20" s="96">
        <f t="shared" si="19"/>
        <v>0</v>
      </c>
      <c r="K20" s="96">
        <f t="shared" si="19"/>
        <v>0</v>
      </c>
      <c r="L20" s="97">
        <f t="shared" si="19"/>
        <v>0</v>
      </c>
      <c r="M20" s="96">
        <f t="shared" si="19"/>
        <v>726235.13099999994</v>
      </c>
      <c r="N20" s="96">
        <f t="shared" si="19"/>
        <v>0</v>
      </c>
      <c r="O20" s="96">
        <f t="shared" ref="O20:AC20" si="20">SUM(O16:O19)</f>
        <v>0</v>
      </c>
      <c r="P20" s="96">
        <f t="shared" si="20"/>
        <v>0</v>
      </c>
      <c r="Q20" s="96">
        <f>SUM(Q16:Q19)</f>
        <v>0</v>
      </c>
      <c r="R20" s="95">
        <f t="shared" si="20"/>
        <v>192274.62400000001</v>
      </c>
      <c r="S20" s="95">
        <f t="shared" si="20"/>
        <v>0</v>
      </c>
      <c r="T20" s="95">
        <f t="shared" si="20"/>
        <v>444612.97669999994</v>
      </c>
      <c r="U20" s="96">
        <f t="shared" si="20"/>
        <v>43790.938999999998</v>
      </c>
      <c r="V20" s="335">
        <f t="shared" si="20"/>
        <v>-444.42</v>
      </c>
      <c r="W20" s="122">
        <f t="shared" si="20"/>
        <v>680234.11969999992</v>
      </c>
      <c r="X20" s="133" t="s">
        <v>178</v>
      </c>
      <c r="Y20" s="198"/>
      <c r="Z20" s="430"/>
      <c r="AA20" s="59" t="s">
        <v>178</v>
      </c>
      <c r="AB20" s="116">
        <f t="shared" si="20"/>
        <v>2597237.983</v>
      </c>
      <c r="AC20" s="97">
        <f t="shared" si="20"/>
        <v>926345.2</v>
      </c>
      <c r="AD20" s="96">
        <f t="shared" ref="AD20:AJ20" si="21">SUM(AD16:AD19)</f>
        <v>823338.84000000008</v>
      </c>
      <c r="AE20" s="95">
        <f t="shared" si="21"/>
        <v>0</v>
      </c>
      <c r="AF20" s="96">
        <f t="shared" si="21"/>
        <v>11962.477999999999</v>
      </c>
      <c r="AG20" s="96">
        <f>SUM(AG16:AG19)</f>
        <v>65430</v>
      </c>
      <c r="AH20" s="96">
        <f t="shared" si="21"/>
        <v>111835.512</v>
      </c>
      <c r="AI20" s="96">
        <f t="shared" si="1"/>
        <v>2683459.6130000004</v>
      </c>
      <c r="AJ20" s="117">
        <f t="shared" si="21"/>
        <v>0</v>
      </c>
      <c r="AK20" s="259">
        <f>SUM(AK16:AK19)</f>
        <v>0</v>
      </c>
      <c r="AL20" s="121">
        <f>SUM(AL16:AL19)</f>
        <v>0</v>
      </c>
      <c r="AM20" s="122">
        <f>SUM(AM16:AM19)</f>
        <v>4089928.8636999996</v>
      </c>
      <c r="AN20" s="331"/>
      <c r="AO20" s="129">
        <f t="shared" ref="AO20:AX20" si="22">SUM(AO16:AO19)</f>
        <v>0</v>
      </c>
      <c r="AP20" s="96">
        <f t="shared" si="22"/>
        <v>0</v>
      </c>
      <c r="AQ20" s="96">
        <f t="shared" si="22"/>
        <v>0</v>
      </c>
      <c r="AR20" s="96">
        <f t="shared" si="22"/>
        <v>0</v>
      </c>
      <c r="AS20" s="99">
        <f t="shared" si="2"/>
        <v>0</v>
      </c>
      <c r="AT20" s="133" t="s">
        <v>178</v>
      </c>
      <c r="AU20" s="198"/>
      <c r="AV20" s="430"/>
      <c r="AW20" s="59" t="s">
        <v>178</v>
      </c>
      <c r="AX20" s="129">
        <f t="shared" si="22"/>
        <v>0</v>
      </c>
      <c r="AY20" s="96">
        <f t="shared" ref="AY20:BG20" si="23">SUM(AY16:AY19)</f>
        <v>0</v>
      </c>
      <c r="AZ20" s="96">
        <f t="shared" si="23"/>
        <v>0</v>
      </c>
      <c r="BA20" s="96">
        <f t="shared" si="23"/>
        <v>39.911000000000001</v>
      </c>
      <c r="BB20" s="96">
        <f t="shared" si="23"/>
        <v>39.911000000000001</v>
      </c>
      <c r="BC20" s="96">
        <f t="shared" si="23"/>
        <v>0</v>
      </c>
      <c r="BD20" s="336">
        <f t="shared" si="23"/>
        <v>45129.510999999999</v>
      </c>
      <c r="BE20" s="96">
        <f t="shared" si="23"/>
        <v>724000</v>
      </c>
      <c r="BF20" s="96">
        <f t="shared" si="23"/>
        <v>0</v>
      </c>
      <c r="BG20" s="96">
        <f t="shared" si="23"/>
        <v>0</v>
      </c>
      <c r="BH20" s="96">
        <f t="shared" ref="BH20:BM20" si="24">SUM(BH16:BH19)</f>
        <v>3800</v>
      </c>
      <c r="BI20" s="96">
        <f t="shared" si="24"/>
        <v>6073</v>
      </c>
      <c r="BJ20" s="96">
        <f t="shared" si="24"/>
        <v>66618.407999999996</v>
      </c>
      <c r="BK20" s="99">
        <f t="shared" si="24"/>
        <v>845620.91899999988</v>
      </c>
      <c r="BL20" s="129">
        <f t="shared" si="24"/>
        <v>2637866.7549999999</v>
      </c>
      <c r="BM20" s="96">
        <f t="shared" si="24"/>
        <v>8036.1440000000002</v>
      </c>
      <c r="BN20" s="96">
        <f>SUM(BN17:BN19)</f>
        <v>76930</v>
      </c>
      <c r="BO20" s="337">
        <f>SUM(BO16:BO19)</f>
        <v>2722832.8990000002</v>
      </c>
      <c r="BP20" s="133" t="s">
        <v>178</v>
      </c>
      <c r="BQ20" s="198"/>
      <c r="BR20" s="430"/>
      <c r="BS20" s="59" t="s">
        <v>178</v>
      </c>
      <c r="BT20" s="337">
        <f t="shared" ref="BT20:CA20" si="25">SUM(BT16:BT19)</f>
        <v>7552.3600000000006</v>
      </c>
      <c r="BU20" s="337">
        <f t="shared" si="25"/>
        <v>0</v>
      </c>
      <c r="BV20" s="337">
        <f t="shared" si="25"/>
        <v>0</v>
      </c>
      <c r="BW20" s="337">
        <f t="shared" si="25"/>
        <v>2350</v>
      </c>
      <c r="BX20" s="337">
        <f t="shared" si="25"/>
        <v>9902.36</v>
      </c>
      <c r="BY20" s="121">
        <f t="shared" si="25"/>
        <v>0</v>
      </c>
      <c r="BZ20" s="121">
        <f t="shared" si="25"/>
        <v>0</v>
      </c>
      <c r="CA20" s="99">
        <f t="shared" si="25"/>
        <v>3578396.0889999997</v>
      </c>
      <c r="CB20" s="116">
        <f t="shared" ref="CB20:CI20" si="26">SUM(CB16:CB19)</f>
        <v>283800</v>
      </c>
      <c r="CC20" s="96">
        <f t="shared" si="26"/>
        <v>0</v>
      </c>
      <c r="CD20" s="96">
        <f>SUM(CD16:CD19)</f>
        <v>54413.199000000001</v>
      </c>
      <c r="CE20" s="96">
        <f t="shared" si="26"/>
        <v>124797.141</v>
      </c>
      <c r="CF20" s="96">
        <f t="shared" si="26"/>
        <v>0</v>
      </c>
      <c r="CG20" s="96">
        <f t="shared" si="26"/>
        <v>261015.783</v>
      </c>
      <c r="CH20" s="123">
        <f t="shared" si="26"/>
        <v>-212493.34299999999</v>
      </c>
      <c r="CI20" s="97">
        <f t="shared" si="26"/>
        <v>10014.273999999999</v>
      </c>
      <c r="CJ20" s="335">
        <f>SUM(CJ16:CJ19)</f>
        <v>0</v>
      </c>
      <c r="CK20" s="99">
        <f t="shared" si="10"/>
        <v>511532.78</v>
      </c>
      <c r="CL20" s="143">
        <f>SUM(CL16:CL19)</f>
        <v>4089928.8689999999</v>
      </c>
      <c r="CM20" s="59" t="s">
        <v>178</v>
      </c>
      <c r="CN20" s="7"/>
      <c r="CO20" s="4"/>
    </row>
    <row r="21" spans="2:93" ht="27.75" customHeight="1" x14ac:dyDescent="0.15">
      <c r="B21" s="468" t="s">
        <v>202</v>
      </c>
      <c r="C21" s="469"/>
      <c r="D21" s="101">
        <f t="shared" ref="D21:W21" si="27">((D10+D15)+D20)</f>
        <v>2259.77</v>
      </c>
      <c r="E21" s="102">
        <f>((E10+E15)+E20)</f>
        <v>2249747.693</v>
      </c>
      <c r="F21" s="102">
        <f t="shared" si="27"/>
        <v>0</v>
      </c>
      <c r="G21" s="103">
        <f t="shared" si="27"/>
        <v>46200</v>
      </c>
      <c r="H21" s="102">
        <f t="shared" si="27"/>
        <v>0</v>
      </c>
      <c r="I21" s="102">
        <f t="shared" si="27"/>
        <v>0</v>
      </c>
      <c r="J21" s="103">
        <f t="shared" si="27"/>
        <v>46200</v>
      </c>
      <c r="K21" s="102">
        <f t="shared" si="27"/>
        <v>543.46800000000007</v>
      </c>
      <c r="L21" s="104">
        <f t="shared" si="27"/>
        <v>-29643.573</v>
      </c>
      <c r="M21" s="103">
        <f t="shared" si="27"/>
        <v>2269107.358</v>
      </c>
      <c r="N21" s="102">
        <f t="shared" si="27"/>
        <v>0</v>
      </c>
      <c r="O21" s="102">
        <f t="shared" si="27"/>
        <v>12.679</v>
      </c>
      <c r="P21" s="102">
        <f t="shared" si="27"/>
        <v>12.679</v>
      </c>
      <c r="Q21" s="102">
        <f t="shared" si="27"/>
        <v>0</v>
      </c>
      <c r="R21" s="103">
        <f t="shared" si="27"/>
        <v>304131.39899999998</v>
      </c>
      <c r="S21" s="102">
        <f t="shared" si="27"/>
        <v>0</v>
      </c>
      <c r="T21" s="102">
        <f t="shared" si="27"/>
        <v>470820.11769999994</v>
      </c>
      <c r="U21" s="102">
        <f t="shared" si="27"/>
        <v>51663.527000000002</v>
      </c>
      <c r="V21" s="105">
        <f t="shared" si="27"/>
        <v>-1846.4290000000001</v>
      </c>
      <c r="W21" s="106">
        <f t="shared" si="27"/>
        <v>824768.61469999992</v>
      </c>
      <c r="X21" s="81" t="s">
        <v>51</v>
      </c>
      <c r="Y21" s="203"/>
      <c r="Z21" s="468" t="s">
        <v>89</v>
      </c>
      <c r="AA21" s="469"/>
      <c r="AB21" s="124">
        <f t="shared" ref="AB21:AM21" si="28">((AB10+AB15)+AB20)</f>
        <v>5265656.9359999998</v>
      </c>
      <c r="AC21" s="104">
        <f t="shared" si="28"/>
        <v>2515511.7209999999</v>
      </c>
      <c r="AD21" s="103">
        <f t="shared" si="28"/>
        <v>1604649.8320000002</v>
      </c>
      <c r="AE21" s="103">
        <f t="shared" si="28"/>
        <v>0</v>
      </c>
      <c r="AF21" s="102">
        <f t="shared" si="28"/>
        <v>20072.579999999998</v>
      </c>
      <c r="AG21" s="103">
        <f t="shared" si="28"/>
        <v>180208.5</v>
      </c>
      <c r="AH21" s="102">
        <f t="shared" si="28"/>
        <v>127054.488</v>
      </c>
      <c r="AI21" s="102">
        <f t="shared" si="1"/>
        <v>4682130.6150000002</v>
      </c>
      <c r="AJ21" s="102">
        <f t="shared" si="28"/>
        <v>2405.4059999999999</v>
      </c>
      <c r="AK21" s="125">
        <f t="shared" si="28"/>
        <v>8097.0619999999999</v>
      </c>
      <c r="AL21" s="125">
        <f t="shared" si="28"/>
        <v>0</v>
      </c>
      <c r="AM21" s="106">
        <f t="shared" si="28"/>
        <v>7786521.7346999999</v>
      </c>
      <c r="AN21" s="47" t="s">
        <v>28</v>
      </c>
      <c r="AO21" s="124">
        <f>((AO10+AO15)+AO20)</f>
        <v>39700</v>
      </c>
      <c r="AP21" s="102">
        <f>((AP10+AP15)+AP20)</f>
        <v>0</v>
      </c>
      <c r="AQ21" s="103">
        <f>((AQ10+AQ15)+AQ20)</f>
        <v>39700</v>
      </c>
      <c r="AR21" s="102">
        <f>((AR10+AR15)+AR20)</f>
        <v>839.24</v>
      </c>
      <c r="AS21" s="131">
        <f t="shared" si="2"/>
        <v>40539.24</v>
      </c>
      <c r="AT21" s="81" t="s">
        <v>52</v>
      </c>
      <c r="AU21" s="203"/>
      <c r="AV21" s="468" t="s">
        <v>90</v>
      </c>
      <c r="AW21" s="469"/>
      <c r="AX21" s="101">
        <f t="shared" ref="AX21:BM21" si="29">((AX10+AX15)+AX20)</f>
        <v>0</v>
      </c>
      <c r="AY21" s="102">
        <f t="shared" si="29"/>
        <v>1269.3119999999999</v>
      </c>
      <c r="AZ21" s="102">
        <f t="shared" si="29"/>
        <v>317.12900000000002</v>
      </c>
      <c r="BA21" s="102">
        <f t="shared" si="29"/>
        <v>39.911000000000001</v>
      </c>
      <c r="BB21" s="102">
        <f t="shared" si="29"/>
        <v>1626.3520000000001</v>
      </c>
      <c r="BC21" s="102">
        <f t="shared" si="29"/>
        <v>0</v>
      </c>
      <c r="BD21" s="103">
        <f t="shared" si="29"/>
        <v>77520.231</v>
      </c>
      <c r="BE21" s="102">
        <f t="shared" si="29"/>
        <v>992100</v>
      </c>
      <c r="BF21" s="102">
        <f t="shared" si="29"/>
        <v>0</v>
      </c>
      <c r="BG21" s="102">
        <f t="shared" si="29"/>
        <v>0</v>
      </c>
      <c r="BH21" s="102">
        <f t="shared" si="29"/>
        <v>3800</v>
      </c>
      <c r="BI21" s="103">
        <f t="shared" si="29"/>
        <v>59833.899999999994</v>
      </c>
      <c r="BJ21" s="103">
        <f t="shared" si="29"/>
        <v>164448.94999999998</v>
      </c>
      <c r="BK21" s="106">
        <f t="shared" si="29"/>
        <v>1297703.0809999998</v>
      </c>
      <c r="BL21" s="124">
        <f t="shared" si="29"/>
        <v>4146373.7549999999</v>
      </c>
      <c r="BM21" s="103">
        <f t="shared" si="29"/>
        <v>8036.1440000000002</v>
      </c>
      <c r="BN21" s="137">
        <f>((BN10+BN15)+BN20)</f>
        <v>464394.21600000001</v>
      </c>
      <c r="BO21" s="137">
        <f>((BO10+BO15)+BO20)</f>
        <v>4618804.1150000002</v>
      </c>
      <c r="BP21" s="134" t="s">
        <v>91</v>
      </c>
      <c r="BQ21" s="199"/>
      <c r="BR21" s="445" t="s">
        <v>90</v>
      </c>
      <c r="BS21" s="446"/>
      <c r="BT21" s="137">
        <f>BT10+BT15+BT20</f>
        <v>49776.93</v>
      </c>
      <c r="BU21" s="137">
        <f t="shared" ref="BU21:CA21" si="30">BU10+BU15+BU20</f>
        <v>0</v>
      </c>
      <c r="BV21" s="137">
        <f t="shared" si="30"/>
        <v>0</v>
      </c>
      <c r="BW21" s="137">
        <f t="shared" si="30"/>
        <v>32145</v>
      </c>
      <c r="BX21" s="103">
        <f t="shared" si="30"/>
        <v>81921.929999999993</v>
      </c>
      <c r="BY21" s="137">
        <f t="shared" si="30"/>
        <v>0</v>
      </c>
      <c r="BZ21" s="137">
        <f t="shared" si="30"/>
        <v>0</v>
      </c>
      <c r="CA21" s="106">
        <f t="shared" si="30"/>
        <v>6040594.7179999994</v>
      </c>
      <c r="CB21" s="124">
        <f t="shared" ref="CB21:CI21" si="31">((CB10+CB15)+CB20)</f>
        <v>804687</v>
      </c>
      <c r="CC21" s="103">
        <f t="shared" si="31"/>
        <v>0</v>
      </c>
      <c r="CD21" s="103">
        <f t="shared" si="31"/>
        <v>60273.751000000004</v>
      </c>
      <c r="CE21" s="103">
        <f t="shared" si="31"/>
        <v>558247.14100000006</v>
      </c>
      <c r="CF21" s="103">
        <f t="shared" si="31"/>
        <v>0</v>
      </c>
      <c r="CG21" s="103">
        <f t="shared" si="31"/>
        <v>453565.783</v>
      </c>
      <c r="CH21" s="104">
        <f t="shared" si="31"/>
        <v>-130846.62000000002</v>
      </c>
      <c r="CI21" s="104">
        <f t="shared" si="31"/>
        <v>167512.247</v>
      </c>
      <c r="CJ21" s="144">
        <f>CJ10+CJ15+CJ20</f>
        <v>0</v>
      </c>
      <c r="CK21" s="106">
        <f t="shared" si="10"/>
        <v>1745927.0549999999</v>
      </c>
      <c r="CL21" s="145">
        <f>((CL10+CL15)+CL20)</f>
        <v>7786521.773</v>
      </c>
      <c r="CM21" s="134" t="s">
        <v>91</v>
      </c>
      <c r="CN21" s="7"/>
      <c r="CO21" s="4"/>
    </row>
  </sheetData>
  <mergeCells count="101">
    <mergeCell ref="A12:A14"/>
    <mergeCell ref="Y12:Y14"/>
    <mergeCell ref="AU12:AU14"/>
    <mergeCell ref="BQ12:BQ14"/>
    <mergeCell ref="BR21:BS21"/>
    <mergeCell ref="BR16:BR20"/>
    <mergeCell ref="BN5:BN6"/>
    <mergeCell ref="BU5:BU6"/>
    <mergeCell ref="BV5:BV6"/>
    <mergeCell ref="BS4:BS6"/>
    <mergeCell ref="BP4:BP6"/>
    <mergeCell ref="E5:E6"/>
    <mergeCell ref="K5:K6"/>
    <mergeCell ref="Q5:Q6"/>
    <mergeCell ref="M5:M6"/>
    <mergeCell ref="P5:P6"/>
    <mergeCell ref="L5:L6"/>
    <mergeCell ref="O5:O6"/>
    <mergeCell ref="D5:D6"/>
    <mergeCell ref="AV7:AV10"/>
    <mergeCell ref="BD5:BD6"/>
    <mergeCell ref="AY5:AY6"/>
    <mergeCell ref="BB5:BB6"/>
    <mergeCell ref="AV4:AV6"/>
    <mergeCell ref="CL4:CL6"/>
    <mergeCell ref="CB4:CK4"/>
    <mergeCell ref="CH5:CI5"/>
    <mergeCell ref="BO3:BP3"/>
    <mergeCell ref="BY4:BY6"/>
    <mergeCell ref="BX5:BX6"/>
    <mergeCell ref="BT5:BT6"/>
    <mergeCell ref="BT4:BX4"/>
    <mergeCell ref="BW5:BW6"/>
    <mergeCell ref="BL4:BO4"/>
    <mergeCell ref="BZ4:BZ6"/>
    <mergeCell ref="BR4:BR6"/>
    <mergeCell ref="CL3:CM3"/>
    <mergeCell ref="CM4:CM6"/>
    <mergeCell ref="CJ5:CJ6"/>
    <mergeCell ref="CD5:CE5"/>
    <mergeCell ref="CK5:CK6"/>
    <mergeCell ref="AV11:AV15"/>
    <mergeCell ref="AT4:AT6"/>
    <mergeCell ref="Z21:AA21"/>
    <mergeCell ref="AL4:AL6"/>
    <mergeCell ref="AK4:AK6"/>
    <mergeCell ref="AA4:AA6"/>
    <mergeCell ref="AM4:AM6"/>
    <mergeCell ref="B21:C21"/>
    <mergeCell ref="B4:B6"/>
    <mergeCell ref="B7:B10"/>
    <mergeCell ref="B11:B15"/>
    <mergeCell ref="B16:B20"/>
    <mergeCell ref="C4:C6"/>
    <mergeCell ref="Z16:Z20"/>
    <mergeCell ref="Z11:Z15"/>
    <mergeCell ref="AD5:AD6"/>
    <mergeCell ref="D4:M4"/>
    <mergeCell ref="G5:J5"/>
    <mergeCell ref="N4:P4"/>
    <mergeCell ref="F5:F6"/>
    <mergeCell ref="N5:N6"/>
    <mergeCell ref="Z7:Z10"/>
    <mergeCell ref="BR7:BR10"/>
    <mergeCell ref="BA5:BA6"/>
    <mergeCell ref="BO5:BO6"/>
    <mergeCell ref="CB5:CB6"/>
    <mergeCell ref="AV21:AW21"/>
    <mergeCell ref="AO4:AS4"/>
    <mergeCell ref="AJ4:AJ6"/>
    <mergeCell ref="AS5:AS6"/>
    <mergeCell ref="AB4:AI4"/>
    <mergeCell ref="AR5:AR6"/>
    <mergeCell ref="BK5:BK6"/>
    <mergeCell ref="BF5:BF6"/>
    <mergeCell ref="BI5:BI6"/>
    <mergeCell ref="AX5:AX6"/>
    <mergeCell ref="AZ5:AZ6"/>
    <mergeCell ref="BE5:BE6"/>
    <mergeCell ref="BH5:BH6"/>
    <mergeCell ref="AV16:AV20"/>
    <mergeCell ref="AX4:BB4"/>
    <mergeCell ref="AW4:AW6"/>
    <mergeCell ref="BC4:BK4"/>
    <mergeCell ref="BJ5:BJ6"/>
    <mergeCell ref="BG5:BG6"/>
    <mergeCell ref="AI5:AI6"/>
    <mergeCell ref="W3:X3"/>
    <mergeCell ref="AS3:AT3"/>
    <mergeCell ref="BC5:BC6"/>
    <mergeCell ref="Q4:W4"/>
    <mergeCell ref="R5:R6"/>
    <mergeCell ref="AO5:AQ5"/>
    <mergeCell ref="W5:W6"/>
    <mergeCell ref="V5:V6"/>
    <mergeCell ref="X4:X6"/>
    <mergeCell ref="S5:S6"/>
    <mergeCell ref="T5:T6"/>
    <mergeCell ref="U5:U6"/>
    <mergeCell ref="Z4:Z6"/>
    <mergeCell ref="AG5:AG6"/>
  </mergeCells>
  <phoneticPr fontId="1"/>
  <printOptions horizontalCentered="1" gridLinesSet="0"/>
  <pageMargins left="0" right="0.31496062992125984" top="0.59055118110236227" bottom="0.59055118110236227" header="0.51181102362204722" footer="0.51181102362204722"/>
  <pageSetup paperSize="9" scale="80" firstPageNumber="61" orientation="landscape" useFirstPageNumber="1" r:id="rId1"/>
  <headerFooter alignWithMargins="0"/>
  <colBreaks count="3" manualBreakCount="3">
    <brk id="24" max="20" man="1"/>
    <brk id="46" max="20" man="1"/>
    <brk id="68" max="20" man="1"/>
  </colBreaks>
  <ignoredErrors>
    <ignoredError sqref="D20:W20 E10:W10 CL10 CL15 D18 E15:R15 BH15:BI15 Z20 Z7:Z14 Z16:Z19 Z15 AB20:AF20 AF7 AB15:AS15 AV20 AV7:AV14 AV16:AV19 AV15 AX20:BN20 AX10:BO10 AX19:BB19 AX15:BF15 BR15 BR20 BR7:BR14 BR16:BR19 BT15:CJ15 BT20:CC20 BT10:BU10 BU19:BV19 G19:P19 F14:L14 AB14:AE14 AN13:AS13 AN16:AS16 AX14:BC14 BT14:CA14 T15:W15 F17:J17 AC10:AS10 AJ8 AI21 F7 H7:J7 M7:N7 F8 AI7:AN7 AP7:AQ7 AS7 AX7 BA7:BC7 BF7:BH7 BK7 BM7 BO7 BU7:CA7 CC7 CE7:CG7 H8:J8 M8:P8 S8 AL8:AN8 AP8 AS8 AX8 BA8:BC8 BF8:BH8 BK8 BM8 BO8 BU8:BV8 BX8:CA8 CC8:CD8 CF8 CJ8 F9:Q9 S9 AI9:AS9 AX9:BC9 BE9:BH9 BK9 BM9 BO9 BU9:BV9 CC9 CF9 CJ9 F12 F11 I11:J11 M11:N11 W11 AE12 AI11:AN11 AQ11:AS11 BA12:BC12 AX11:AY11 BF11:BH11 BK11 BU12:CA12 BU11 CC11 CF11:CG11 S12 W12 P12:Q12 AI12:AJ12 AL12:AN12 BF12:BH12 BK12 BM12 BO12 CC12 S14:T14 W14 AI14:AS14 BK14:BO14 BE14:BH14 CC14:CD14 CF14 L17:Q17 S17 AE17 AL17 AS17 AX17 AZ17 BF17:BH17 BK17 BM17 BO17 BU17:BV17 CJ17 F18:Q18 S18 W18 AE18 AH18 AX18:BC18 BF18:BH18 BK18 BN18:BO18 BU18:BV18 CC18 CF18 AJ19:AS19 BF19:BG19 BN19:BO19 CC19 CF19 CJ19 N14:Q14 CF12:CG12 CC17 BX18:CA18 Q7 BM11:BO11 BO15 BO20 BB17:BC17 P11:Q11 BA11:BC11 BW10:CD10 BW11:CA11 AQ12:AS12 BK15:BN15 H12:M12 CF10:CJ10 AJ18:AS18 BX19:BZ19 AH20:AS20 BX9:CA9 CE20:CK20 BX17:BY17 AN17:AQ17" formula="1"/>
    <ignoredError sqref="CK10 BG15 CK15 CK17 S15 CK12 CK19" formula="1" formulaRange="1"/>
    <ignoredError sqref="CK16 CK13:CK14 BK16 CK18 CK7:CK9 CK11" formulaRange="1"/>
    <ignoredError sqref="E19 R19 T19:U19 U16 AB19 AB8:AC8 AH9 AG19:AH19 BD19:BE19 BJ19 BJ12:BJ14 BJ9 BN13 BN17 CH12 CH1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P1" transitionEvaluation="1">
    <tabColor rgb="FFFFC000"/>
  </sheetPr>
  <dimension ref="A1:FM20"/>
  <sheetViews>
    <sheetView tabSelected="1" showWhiteSpace="0" view="pageBreakPreview" topLeftCell="AP1" zoomScale="85" zoomScaleNormal="115" zoomScaleSheetLayoutView="85" workbookViewId="0">
      <selection activeCell="BD11" sqref="BD11"/>
    </sheetView>
  </sheetViews>
  <sheetFormatPr defaultColWidth="10.625" defaultRowHeight="23.1" customHeight="1" x14ac:dyDescent="0.15"/>
  <cols>
    <col min="1" max="1" width="2.5" style="8" customWidth="1"/>
    <col min="2" max="2" width="2.25" style="8" customWidth="1"/>
    <col min="3" max="3" width="9.375" style="8" customWidth="1"/>
    <col min="4" max="4" width="5.75" style="8" customWidth="1"/>
    <col min="5" max="5" width="5.125" style="8" customWidth="1"/>
    <col min="6" max="6" width="5.25" style="8" customWidth="1"/>
    <col min="7" max="8" width="5.375" style="8" customWidth="1"/>
    <col min="9" max="9" width="5.875" style="8" customWidth="1"/>
    <col min="10" max="11" width="6.375" style="8" customWidth="1"/>
    <col min="12" max="12" width="6.5" style="8" customWidth="1"/>
    <col min="13" max="13" width="6.875" style="8" customWidth="1"/>
    <col min="14" max="14" width="7.125" style="8" customWidth="1"/>
    <col min="15" max="15" width="7.25" style="8" customWidth="1"/>
    <col min="16" max="16" width="7" style="8" customWidth="1"/>
    <col min="17" max="17" width="6.625" style="8" customWidth="1"/>
    <col min="18" max="18" width="7.375" style="8" customWidth="1"/>
    <col min="19" max="19" width="9.375" style="8" customWidth="1"/>
    <col min="20" max="21" width="2.5" style="8" customWidth="1"/>
    <col min="22" max="22" width="10.625" style="8" customWidth="1"/>
    <col min="23" max="28" width="6.875" style="8" customWidth="1"/>
    <col min="29" max="30" width="8.25" style="8" customWidth="1"/>
    <col min="31" max="31" width="8.875" style="8" customWidth="1"/>
    <col min="32" max="34" width="8.25" style="8" customWidth="1"/>
    <col min="35" max="35" width="10.625" style="8" customWidth="1"/>
    <col min="36" max="36" width="2.5" style="8" customWidth="1"/>
    <col min="37" max="37" width="2.125" style="8" customWidth="1"/>
    <col min="38" max="38" width="9.375" style="8" customWidth="1"/>
    <col min="39" max="39" width="6.125" style="8" customWidth="1"/>
    <col min="40" max="40" width="7.5" style="8" customWidth="1"/>
    <col min="41" max="41" width="7.25" style="8" customWidth="1"/>
    <col min="42" max="42" width="6.5" style="8" customWidth="1"/>
    <col min="43" max="43" width="6.625" style="8" customWidth="1"/>
    <col min="44" max="44" width="7" style="8" customWidth="1"/>
    <col min="45" max="45" width="6.75" style="8" customWidth="1"/>
    <col min="46" max="46" width="6.875" style="8" customWidth="1"/>
    <col min="47" max="47" width="6.75" style="8" customWidth="1"/>
    <col min="48" max="48" width="5.25" style="8" customWidth="1"/>
    <col min="49" max="49" width="5" style="8" customWidth="1"/>
    <col min="50" max="50" width="6.875" style="8" customWidth="1"/>
    <col min="51" max="51" width="7.125" style="8" customWidth="1"/>
    <col min="52" max="52" width="5.375" style="8" customWidth="1"/>
    <col min="53" max="53" width="8.875" style="8" bestFit="1" customWidth="1"/>
    <col min="54" max="54" width="8.875" style="8" customWidth="1"/>
    <col min="55" max="16384" width="10.625" style="8"/>
  </cols>
  <sheetData>
    <row r="1" spans="1:169" ht="10.5" customHeight="1" x14ac:dyDescent="0.1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</row>
    <row r="2" spans="1:169" ht="18" customHeight="1" x14ac:dyDescent="0.15">
      <c r="B2" s="10"/>
      <c r="C2" s="11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</row>
    <row r="3" spans="1:169" ht="21" customHeight="1" x14ac:dyDescent="0.15">
      <c r="B3" s="176" t="s">
        <v>290</v>
      </c>
      <c r="C3" s="12"/>
      <c r="D3" s="13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535" t="s">
        <v>243</v>
      </c>
      <c r="S3" s="535"/>
      <c r="T3" s="206"/>
      <c r="U3" s="14"/>
      <c r="V3" s="176" t="s">
        <v>291</v>
      </c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535" t="s">
        <v>243</v>
      </c>
      <c r="AI3" s="535"/>
      <c r="AJ3" s="206"/>
      <c r="AK3" s="14"/>
      <c r="AL3" s="12" t="s">
        <v>291</v>
      </c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535" t="s">
        <v>243</v>
      </c>
      <c r="BB3" s="535"/>
    </row>
    <row r="4" spans="1:169" ht="24.75" customHeight="1" x14ac:dyDescent="0.15">
      <c r="B4" s="177" t="s">
        <v>0</v>
      </c>
      <c r="C4" s="533" t="s">
        <v>205</v>
      </c>
      <c r="D4" s="551" t="s">
        <v>206</v>
      </c>
      <c r="E4" s="549"/>
      <c r="F4" s="549"/>
      <c r="G4" s="549" t="s">
        <v>207</v>
      </c>
      <c r="H4" s="549"/>
      <c r="I4" s="549"/>
      <c r="J4" s="549" t="s">
        <v>208</v>
      </c>
      <c r="K4" s="549"/>
      <c r="L4" s="549"/>
      <c r="M4" s="549" t="s">
        <v>209</v>
      </c>
      <c r="N4" s="549"/>
      <c r="O4" s="549"/>
      <c r="P4" s="549" t="s">
        <v>210</v>
      </c>
      <c r="Q4" s="549"/>
      <c r="R4" s="550"/>
      <c r="S4" s="536" t="s">
        <v>205</v>
      </c>
      <c r="T4" s="207"/>
      <c r="U4" s="177" t="s">
        <v>0</v>
      </c>
      <c r="V4" s="533" t="s">
        <v>205</v>
      </c>
      <c r="W4" s="551" t="s">
        <v>211</v>
      </c>
      <c r="X4" s="549"/>
      <c r="Y4" s="549"/>
      <c r="Z4" s="549" t="s">
        <v>212</v>
      </c>
      <c r="AA4" s="549"/>
      <c r="AB4" s="549"/>
      <c r="AC4" s="549" t="s">
        <v>213</v>
      </c>
      <c r="AD4" s="549"/>
      <c r="AE4" s="549"/>
      <c r="AF4" s="549" t="s">
        <v>214</v>
      </c>
      <c r="AG4" s="549"/>
      <c r="AH4" s="550"/>
      <c r="AI4" s="536" t="s">
        <v>205</v>
      </c>
      <c r="AJ4" s="207"/>
      <c r="AK4" s="177" t="s">
        <v>0</v>
      </c>
      <c r="AL4" s="533" t="s">
        <v>205</v>
      </c>
      <c r="AM4" s="528" t="s">
        <v>215</v>
      </c>
      <c r="AN4" s="529"/>
      <c r="AO4" s="526" t="s">
        <v>267</v>
      </c>
      <c r="AP4" s="526" t="s">
        <v>266</v>
      </c>
      <c r="AQ4" s="526" t="s">
        <v>265</v>
      </c>
      <c r="AR4" s="526" t="s">
        <v>228</v>
      </c>
      <c r="AS4" s="526" t="s">
        <v>268</v>
      </c>
      <c r="AT4" s="526" t="s">
        <v>269</v>
      </c>
      <c r="AU4" s="526" t="s">
        <v>229</v>
      </c>
      <c r="AV4" s="547" t="s">
        <v>169</v>
      </c>
      <c r="AW4" s="543" t="s">
        <v>230</v>
      </c>
      <c r="AX4" s="539" t="s">
        <v>270</v>
      </c>
      <c r="AY4" s="539" t="s">
        <v>231</v>
      </c>
      <c r="AZ4" s="543" t="s">
        <v>232</v>
      </c>
      <c r="BA4" s="541" t="s">
        <v>233</v>
      </c>
      <c r="BB4" s="536" t="s">
        <v>164</v>
      </c>
    </row>
    <row r="5" spans="1:169" ht="24.75" customHeight="1" x14ac:dyDescent="0.15">
      <c r="B5" s="178" t="s">
        <v>3</v>
      </c>
      <c r="C5" s="534"/>
      <c r="D5" s="15" t="s">
        <v>45</v>
      </c>
      <c r="E5" s="16" t="s">
        <v>46</v>
      </c>
      <c r="F5" s="16" t="s">
        <v>47</v>
      </c>
      <c r="G5" s="16" t="s">
        <v>45</v>
      </c>
      <c r="H5" s="16" t="s">
        <v>46</v>
      </c>
      <c r="I5" s="16" t="s">
        <v>47</v>
      </c>
      <c r="J5" s="16" t="s">
        <v>45</v>
      </c>
      <c r="K5" s="16" t="s">
        <v>46</v>
      </c>
      <c r="L5" s="16" t="s">
        <v>47</v>
      </c>
      <c r="M5" s="16" t="s">
        <v>45</v>
      </c>
      <c r="N5" s="16" t="s">
        <v>46</v>
      </c>
      <c r="O5" s="16" t="s">
        <v>47</v>
      </c>
      <c r="P5" s="16" t="s">
        <v>45</v>
      </c>
      <c r="Q5" s="16" t="s">
        <v>46</v>
      </c>
      <c r="R5" s="17" t="s">
        <v>47</v>
      </c>
      <c r="S5" s="537"/>
      <c r="T5" s="207"/>
      <c r="U5" s="178" t="s">
        <v>3</v>
      </c>
      <c r="V5" s="534"/>
      <c r="W5" s="18" t="s">
        <v>45</v>
      </c>
      <c r="X5" s="19" t="s">
        <v>46</v>
      </c>
      <c r="Y5" s="19" t="s">
        <v>47</v>
      </c>
      <c r="Z5" s="19" t="s">
        <v>45</v>
      </c>
      <c r="AA5" s="19" t="s">
        <v>46</v>
      </c>
      <c r="AB5" s="19" t="s">
        <v>47</v>
      </c>
      <c r="AC5" s="19" t="s">
        <v>45</v>
      </c>
      <c r="AD5" s="19" t="s">
        <v>46</v>
      </c>
      <c r="AE5" s="19" t="s">
        <v>47</v>
      </c>
      <c r="AF5" s="19" t="s">
        <v>45</v>
      </c>
      <c r="AG5" s="19" t="s">
        <v>46</v>
      </c>
      <c r="AH5" s="20" t="s">
        <v>47</v>
      </c>
      <c r="AI5" s="537"/>
      <c r="AJ5" s="207"/>
      <c r="AK5" s="178" t="s">
        <v>3</v>
      </c>
      <c r="AL5" s="534"/>
      <c r="AM5" s="21"/>
      <c r="AN5" s="19" t="s">
        <v>48</v>
      </c>
      <c r="AO5" s="527"/>
      <c r="AP5" s="527"/>
      <c r="AQ5" s="527"/>
      <c r="AR5" s="527"/>
      <c r="AS5" s="527"/>
      <c r="AT5" s="527"/>
      <c r="AU5" s="527"/>
      <c r="AV5" s="548"/>
      <c r="AW5" s="546"/>
      <c r="AX5" s="545"/>
      <c r="AY5" s="540"/>
      <c r="AZ5" s="544"/>
      <c r="BA5" s="542"/>
      <c r="BB5" s="537"/>
    </row>
    <row r="6" spans="1:169" ht="25.5" customHeight="1" x14ac:dyDescent="0.15">
      <c r="B6" s="428" t="s">
        <v>79</v>
      </c>
      <c r="C6" s="555" t="s">
        <v>80</v>
      </c>
      <c r="D6" s="179">
        <v>829.28700000000003</v>
      </c>
      <c r="E6" s="180">
        <v>744.39700000000005</v>
      </c>
      <c r="F6" s="181">
        <f>(D6-E6)</f>
        <v>84.889999999999986</v>
      </c>
      <c r="G6" s="180">
        <v>207.136</v>
      </c>
      <c r="H6" s="180">
        <v>2.2309999999999999</v>
      </c>
      <c r="I6" s="181">
        <f>(G6-H6)</f>
        <v>204.905</v>
      </c>
      <c r="J6" s="180">
        <v>45089.855000000003</v>
      </c>
      <c r="K6" s="180">
        <v>40635.51</v>
      </c>
      <c r="L6" s="181">
        <f>(J6-K6)</f>
        <v>4454.3450000000012</v>
      </c>
      <c r="M6" s="180">
        <v>299.46300000000002</v>
      </c>
      <c r="N6" s="180">
        <v>223.25200000000001</v>
      </c>
      <c r="O6" s="182">
        <f>(M6-N6)</f>
        <v>76.211000000000013</v>
      </c>
      <c r="P6" s="180">
        <v>118532.039</v>
      </c>
      <c r="Q6" s="180">
        <v>62438.714999999997</v>
      </c>
      <c r="R6" s="183">
        <f>(P6-Q6)</f>
        <v>56093.324000000008</v>
      </c>
      <c r="S6" s="562" t="s">
        <v>80</v>
      </c>
      <c r="T6" s="198"/>
      <c r="U6" s="530" t="s">
        <v>79</v>
      </c>
      <c r="V6" s="555" t="s">
        <v>80</v>
      </c>
      <c r="W6" s="179"/>
      <c r="X6" s="180"/>
      <c r="Y6" s="181">
        <f>(W6-X6)</f>
        <v>0</v>
      </c>
      <c r="Z6" s="180"/>
      <c r="AA6" s="180"/>
      <c r="AB6" s="181">
        <f>(Z6-AA6)</f>
        <v>0</v>
      </c>
      <c r="AC6" s="180"/>
      <c r="AD6" s="180">
        <v>39</v>
      </c>
      <c r="AE6" s="181">
        <f>(AC6-AD6)</f>
        <v>-39</v>
      </c>
      <c r="AF6" s="181">
        <f>D6+G6+J6+M6+P6+W6+Z6+AC6</f>
        <v>164957.78000000003</v>
      </c>
      <c r="AG6" s="181">
        <f>E6+H6+K6+N6+Q6+X6+AA6+AD6</f>
        <v>104083.105</v>
      </c>
      <c r="AH6" s="183">
        <f>F6+I6+L6+O6+R6+Y6+AB6+AE6</f>
        <v>60874.67500000001</v>
      </c>
      <c r="AI6" s="562" t="s">
        <v>80</v>
      </c>
      <c r="AJ6" s="198"/>
      <c r="AK6" s="615" t="s">
        <v>79</v>
      </c>
      <c r="AL6" s="555" t="s">
        <v>80</v>
      </c>
      <c r="AM6" s="60">
        <v>44949.413</v>
      </c>
      <c r="AN6" s="61">
        <v>13580.46</v>
      </c>
      <c r="AO6" s="62">
        <f>(AH6-AM6)</f>
        <v>15925.26200000001</v>
      </c>
      <c r="AP6" s="61">
        <v>38051.663</v>
      </c>
      <c r="AQ6" s="61">
        <v>36247.141000000003</v>
      </c>
      <c r="AR6" s="62">
        <f>AO6+AP6-AQ6</f>
        <v>17729.784000000007</v>
      </c>
      <c r="AS6" s="61">
        <v>0</v>
      </c>
      <c r="AT6" s="63">
        <v>2299.3110000000001</v>
      </c>
      <c r="AU6" s="62">
        <f>AR6+AS6-AT6</f>
        <v>15430.473000000007</v>
      </c>
      <c r="AV6" s="61">
        <v>185</v>
      </c>
      <c r="AW6" s="64"/>
      <c r="AX6" s="75">
        <f t="shared" ref="AX6:AX8" si="0">AU6-AV6+AW6</f>
        <v>15245.473000000007</v>
      </c>
      <c r="AY6" s="65">
        <v>-274807.723</v>
      </c>
      <c r="AZ6" s="65"/>
      <c r="BA6" s="66">
        <f>AX6+AY6+AZ6</f>
        <v>-259562.25</v>
      </c>
      <c r="BB6" s="555" t="s">
        <v>80</v>
      </c>
    </row>
    <row r="7" spans="1:169" ht="25.5" customHeight="1" x14ac:dyDescent="0.15">
      <c r="B7" s="429"/>
      <c r="C7" s="563" t="s">
        <v>81</v>
      </c>
      <c r="D7" s="184">
        <v>802.39200000000005</v>
      </c>
      <c r="E7" s="185">
        <v>1.1000000000000001</v>
      </c>
      <c r="F7" s="182">
        <f>(D7-E7)</f>
        <v>801.29200000000003</v>
      </c>
      <c r="G7" s="185">
        <v>46.517000000000003</v>
      </c>
      <c r="H7" s="185"/>
      <c r="I7" s="182">
        <f>(G7-H7)</f>
        <v>46.517000000000003</v>
      </c>
      <c r="J7" s="185">
        <v>1823.88</v>
      </c>
      <c r="K7" s="185">
        <v>2347.1529999999998</v>
      </c>
      <c r="L7" s="182">
        <f>(J7-K7)</f>
        <v>-523.27299999999968</v>
      </c>
      <c r="M7" s="185">
        <v>33679.57</v>
      </c>
      <c r="N7" s="185">
        <v>32400.107</v>
      </c>
      <c r="O7" s="182">
        <f>(M7-N7)</f>
        <v>1279.4629999999997</v>
      </c>
      <c r="P7" s="185">
        <v>223731.647</v>
      </c>
      <c r="Q7" s="185">
        <v>127341.19899999999</v>
      </c>
      <c r="R7" s="186">
        <f>(P7-Q7)</f>
        <v>96390.448000000004</v>
      </c>
      <c r="S7" s="132" t="s">
        <v>81</v>
      </c>
      <c r="T7" s="198"/>
      <c r="U7" s="531"/>
      <c r="V7" s="563" t="s">
        <v>81</v>
      </c>
      <c r="W7" s="184"/>
      <c r="X7" s="185"/>
      <c r="Y7" s="182">
        <f>(W7-X7)</f>
        <v>0</v>
      </c>
      <c r="Z7" s="185"/>
      <c r="AA7" s="185"/>
      <c r="AB7" s="182">
        <f>(Z7-AA7)</f>
        <v>0</v>
      </c>
      <c r="AC7" s="185">
        <f>3000+2139.08</f>
        <v>5139.08</v>
      </c>
      <c r="AD7" s="185">
        <f>0+2139.08</f>
        <v>2139.08</v>
      </c>
      <c r="AE7" s="182">
        <f>(AC7-AD7)</f>
        <v>3000</v>
      </c>
      <c r="AF7" s="182">
        <f t="shared" ref="AF7:AF20" si="1">D7+G7+J7+M7+P7+W7+Z7+AC7</f>
        <v>265223.08600000001</v>
      </c>
      <c r="AG7" s="182">
        <f>E7+H7+K7+N7+Q7+X7+AA7+AD7</f>
        <v>164228.639</v>
      </c>
      <c r="AH7" s="186">
        <f t="shared" ref="AH7:AH20" si="2">F7+I7+L7+O7+R7+Y7+AB7+AE7</f>
        <v>100994.447</v>
      </c>
      <c r="AI7" s="132" t="s">
        <v>81</v>
      </c>
      <c r="AJ7" s="198"/>
      <c r="AK7" s="616"/>
      <c r="AL7" s="563" t="s">
        <v>81</v>
      </c>
      <c r="AM7" s="67">
        <v>27695.759999999998</v>
      </c>
      <c r="AN7" s="68">
        <v>22269.58</v>
      </c>
      <c r="AO7" s="62">
        <f>(AH7-AM7)</f>
        <v>73298.687000000005</v>
      </c>
      <c r="AP7" s="68">
        <v>6042.1450000000004</v>
      </c>
      <c r="AQ7" s="68">
        <v>24933.991000000002</v>
      </c>
      <c r="AR7" s="62">
        <f t="shared" ref="AR7:AR20" si="3">AO7+AP7-AQ7</f>
        <v>54406.841000000008</v>
      </c>
      <c r="AS7" s="68">
        <v>47</v>
      </c>
      <c r="AT7" s="69">
        <v>3.0000000000000001E-3</v>
      </c>
      <c r="AU7" s="62">
        <f>AR7+AS7-AT7</f>
        <v>54453.838000000011</v>
      </c>
      <c r="AV7" s="68">
        <v>18300.400000000001</v>
      </c>
      <c r="AW7" s="70">
        <v>5641.7359999999999</v>
      </c>
      <c r="AX7" s="75">
        <f>AU7-AV7+AW7</f>
        <v>41795.174000000006</v>
      </c>
      <c r="AY7" s="62">
        <v>9581.1299999999992</v>
      </c>
      <c r="AZ7" s="62"/>
      <c r="BA7" s="71">
        <f>AX7+AY7+AZ7</f>
        <v>51376.304000000004</v>
      </c>
      <c r="BB7" s="563" t="s">
        <v>81</v>
      </c>
    </row>
    <row r="8" spans="1:169" ht="25.5" customHeight="1" x14ac:dyDescent="0.15">
      <c r="B8" s="429"/>
      <c r="C8" s="563" t="s">
        <v>82</v>
      </c>
      <c r="D8" s="184"/>
      <c r="E8" s="185"/>
      <c r="F8" s="182">
        <f>(D8-E8)</f>
        <v>0</v>
      </c>
      <c r="G8" s="185"/>
      <c r="H8" s="185"/>
      <c r="I8" s="182">
        <f>(G8-H8)</f>
        <v>0</v>
      </c>
      <c r="J8" s="185"/>
      <c r="K8" s="185"/>
      <c r="L8" s="182">
        <f>(J8-K8)</f>
        <v>0</v>
      </c>
      <c r="M8" s="185"/>
      <c r="N8" s="185"/>
      <c r="O8" s="182">
        <f>(M8-N8)</f>
        <v>0</v>
      </c>
      <c r="P8" s="185"/>
      <c r="Q8" s="185"/>
      <c r="R8" s="186">
        <f>(P8-Q8)</f>
        <v>0</v>
      </c>
      <c r="S8" s="132" t="s">
        <v>82</v>
      </c>
      <c r="T8" s="198"/>
      <c r="U8" s="531"/>
      <c r="V8" s="563" t="s">
        <v>82</v>
      </c>
      <c r="W8" s="184">
        <v>347773.15</v>
      </c>
      <c r="X8" s="185">
        <v>211368.89600000001</v>
      </c>
      <c r="Y8" s="182">
        <f>(W8-X8)</f>
        <v>136404.25400000002</v>
      </c>
      <c r="Z8" s="185"/>
      <c r="AA8" s="185"/>
      <c r="AB8" s="182">
        <f>(Z8-AA8)</f>
        <v>0</v>
      </c>
      <c r="AC8" s="185">
        <v>1100</v>
      </c>
      <c r="AD8" s="185"/>
      <c r="AE8" s="182">
        <f>(AC8-AD8)</f>
        <v>1100</v>
      </c>
      <c r="AF8" s="182">
        <f t="shared" si="1"/>
        <v>348873.15</v>
      </c>
      <c r="AG8" s="182">
        <f t="shared" ref="AG8:AG20" si="4">E8+H8+K8+N8+Q8+X8+AA8+AD8</f>
        <v>211368.89600000001</v>
      </c>
      <c r="AH8" s="186">
        <f t="shared" si="2"/>
        <v>137504.25400000002</v>
      </c>
      <c r="AI8" s="132" t="s">
        <v>82</v>
      </c>
      <c r="AJ8" s="198"/>
      <c r="AK8" s="616"/>
      <c r="AL8" s="563" t="s">
        <v>82</v>
      </c>
      <c r="AM8" s="67">
        <v>31166.998</v>
      </c>
      <c r="AN8" s="68">
        <v>27231.333999999999</v>
      </c>
      <c r="AO8" s="62">
        <f>(AH8-AM8)</f>
        <v>106337.25600000002</v>
      </c>
      <c r="AP8" s="68">
        <v>6919.2219999999998</v>
      </c>
      <c r="AQ8" s="68">
        <v>15269.942999999999</v>
      </c>
      <c r="AR8" s="62">
        <f t="shared" si="3"/>
        <v>97986.535000000018</v>
      </c>
      <c r="AS8" s="68">
        <v>313.36799999999999</v>
      </c>
      <c r="AT8" s="69">
        <v>710.11599999999999</v>
      </c>
      <c r="AU8" s="62">
        <f>AR8+AS8-AT8</f>
        <v>97589.787000000026</v>
      </c>
      <c r="AV8" s="68">
        <v>26052.3</v>
      </c>
      <c r="AW8" s="70"/>
      <c r="AX8" s="75">
        <f t="shared" si="0"/>
        <v>71537.487000000023</v>
      </c>
      <c r="AY8" s="62">
        <v>6340.5680000000002</v>
      </c>
      <c r="AZ8" s="62"/>
      <c r="BA8" s="71">
        <f t="shared" ref="BA8:BA17" si="5">AX8+AY8+AZ8</f>
        <v>77878.055000000022</v>
      </c>
      <c r="BB8" s="563" t="s">
        <v>82</v>
      </c>
    </row>
    <row r="9" spans="1:169" ht="25.5" customHeight="1" x14ac:dyDescent="0.15">
      <c r="B9" s="430"/>
      <c r="C9" s="59" t="s">
        <v>7</v>
      </c>
      <c r="D9" s="187">
        <f>SUM(D6:D8)</f>
        <v>1631.6790000000001</v>
      </c>
      <c r="E9" s="188">
        <f>SUM(E6:E8)</f>
        <v>745.49700000000007</v>
      </c>
      <c r="F9" s="188">
        <f>(D9-E9)</f>
        <v>886.18200000000002</v>
      </c>
      <c r="G9" s="188">
        <f t="shared" ref="G9:P9" si="6">SUM(G6:G8)</f>
        <v>253.65299999999999</v>
      </c>
      <c r="H9" s="188">
        <f t="shared" si="6"/>
        <v>2.2309999999999999</v>
      </c>
      <c r="I9" s="188">
        <f t="shared" si="6"/>
        <v>251.422</v>
      </c>
      <c r="J9" s="189">
        <f t="shared" si="6"/>
        <v>46913.735000000001</v>
      </c>
      <c r="K9" s="189">
        <f t="shared" si="6"/>
        <v>42982.663</v>
      </c>
      <c r="L9" s="188">
        <f t="shared" si="6"/>
        <v>3931.0720000000015</v>
      </c>
      <c r="M9" s="188">
        <f t="shared" si="6"/>
        <v>33979.033000000003</v>
      </c>
      <c r="N9" s="188">
        <f t="shared" si="6"/>
        <v>32623.359</v>
      </c>
      <c r="O9" s="188">
        <f t="shared" si="6"/>
        <v>1355.6739999999998</v>
      </c>
      <c r="P9" s="188">
        <f t="shared" si="6"/>
        <v>342263.68599999999</v>
      </c>
      <c r="Q9" s="188">
        <f t="shared" ref="Q9:AD9" si="7">SUM(Q6:Q8)</f>
        <v>189779.91399999999</v>
      </c>
      <c r="R9" s="190">
        <f t="shared" si="7"/>
        <v>152483.772</v>
      </c>
      <c r="S9" s="133" t="s">
        <v>7</v>
      </c>
      <c r="T9" s="198"/>
      <c r="U9" s="532"/>
      <c r="V9" s="59" t="s">
        <v>7</v>
      </c>
      <c r="W9" s="187">
        <f t="shared" si="7"/>
        <v>347773.15</v>
      </c>
      <c r="X9" s="188">
        <f t="shared" si="7"/>
        <v>211368.89600000001</v>
      </c>
      <c r="Y9" s="188">
        <f t="shared" si="7"/>
        <v>136404.25400000002</v>
      </c>
      <c r="Z9" s="188">
        <f t="shared" si="7"/>
        <v>0</v>
      </c>
      <c r="AA9" s="188">
        <f t="shared" si="7"/>
        <v>0</v>
      </c>
      <c r="AB9" s="188">
        <f t="shared" si="7"/>
        <v>0</v>
      </c>
      <c r="AC9" s="188">
        <f t="shared" si="7"/>
        <v>6239.08</v>
      </c>
      <c r="AD9" s="188">
        <f t="shared" si="7"/>
        <v>2178.08</v>
      </c>
      <c r="AE9" s="196">
        <f t="shared" ref="AE9:AQ9" si="8">SUM(AE6:AE8)</f>
        <v>4061</v>
      </c>
      <c r="AF9" s="191">
        <f t="shared" si="1"/>
        <v>779054.01599999995</v>
      </c>
      <c r="AG9" s="191">
        <f t="shared" si="4"/>
        <v>479680.64</v>
      </c>
      <c r="AH9" s="192">
        <f t="shared" si="2"/>
        <v>299373.37600000005</v>
      </c>
      <c r="AI9" s="133" t="s">
        <v>7</v>
      </c>
      <c r="AJ9" s="198"/>
      <c r="AK9" s="617"/>
      <c r="AL9" s="59" t="s">
        <v>7</v>
      </c>
      <c r="AM9" s="72">
        <f t="shared" si="8"/>
        <v>103812.171</v>
      </c>
      <c r="AN9" s="73">
        <f t="shared" si="8"/>
        <v>63081.373999999996</v>
      </c>
      <c r="AO9" s="73">
        <f t="shared" si="8"/>
        <v>195561.20500000005</v>
      </c>
      <c r="AP9" s="73">
        <f t="shared" si="8"/>
        <v>51013.030000000006</v>
      </c>
      <c r="AQ9" s="73">
        <f t="shared" si="8"/>
        <v>76451.075000000012</v>
      </c>
      <c r="AR9" s="73">
        <f t="shared" si="3"/>
        <v>170123.16000000003</v>
      </c>
      <c r="AS9" s="73">
        <f t="shared" ref="AS9:AZ9" si="9">SUM(AS6:AS8)</f>
        <v>360.36799999999999</v>
      </c>
      <c r="AT9" s="74">
        <f t="shared" si="9"/>
        <v>3009.4300000000003</v>
      </c>
      <c r="AU9" s="73">
        <f>SUM(AU6:AU8)</f>
        <v>167474.09800000006</v>
      </c>
      <c r="AV9" s="73">
        <f>SUM(AV6:AV8)</f>
        <v>44537.7</v>
      </c>
      <c r="AW9" s="73">
        <f t="shared" si="9"/>
        <v>5641.7359999999999</v>
      </c>
      <c r="AX9" s="75">
        <f>AU9-AV9+AW9</f>
        <v>128578.13400000006</v>
      </c>
      <c r="AY9" s="73">
        <f>SUM(AY6:AY8)</f>
        <v>-258886.02499999999</v>
      </c>
      <c r="AZ9" s="73">
        <f t="shared" si="9"/>
        <v>0</v>
      </c>
      <c r="BA9" s="76">
        <f>SUM(BA6:BA8)</f>
        <v>-130307.89099999997</v>
      </c>
      <c r="BB9" s="59" t="s">
        <v>7</v>
      </c>
    </row>
    <row r="10" spans="1:169" ht="25.5" customHeight="1" x14ac:dyDescent="0.15">
      <c r="B10" s="243"/>
      <c r="C10" s="555" t="s">
        <v>84</v>
      </c>
      <c r="D10" s="179"/>
      <c r="E10" s="180"/>
      <c r="F10" s="181">
        <f>(D10-E10)</f>
        <v>0</v>
      </c>
      <c r="G10" s="180"/>
      <c r="H10" s="180"/>
      <c r="I10" s="181">
        <f>(G10-H10)</f>
        <v>0</v>
      </c>
      <c r="J10" s="180">
        <v>39610.207999999999</v>
      </c>
      <c r="K10" s="180">
        <v>36094.758999999998</v>
      </c>
      <c r="L10" s="181">
        <f>(J10-K10)</f>
        <v>3515.4490000000005</v>
      </c>
      <c r="M10" s="180"/>
      <c r="N10" s="180"/>
      <c r="O10" s="181">
        <f>(M10-N10)</f>
        <v>0</v>
      </c>
      <c r="P10" s="180">
        <v>66248.538</v>
      </c>
      <c r="Q10" s="180">
        <v>62032.989000000001</v>
      </c>
      <c r="R10" s="183">
        <f>(P10-Q10)</f>
        <v>4215.5489999999991</v>
      </c>
      <c r="S10" s="562" t="s">
        <v>84</v>
      </c>
      <c r="T10" s="198"/>
      <c r="U10" s="245"/>
      <c r="V10" s="555" t="s">
        <v>84</v>
      </c>
      <c r="W10" s="179"/>
      <c r="X10" s="180"/>
      <c r="Y10" s="181">
        <f>(W10-X10)</f>
        <v>0</v>
      </c>
      <c r="Z10" s="180"/>
      <c r="AA10" s="180"/>
      <c r="AB10" s="181">
        <f>(Z10-AA10)</f>
        <v>0</v>
      </c>
      <c r="AC10" s="180">
        <v>483.7</v>
      </c>
      <c r="AD10" s="180"/>
      <c r="AE10" s="181">
        <f>(AC10-AD10)</f>
        <v>483.7</v>
      </c>
      <c r="AF10" s="181">
        <f>D10+G10+J10+M10+P10+W10+Z10+AC10</f>
        <v>106342.446</v>
      </c>
      <c r="AG10" s="181">
        <f t="shared" si="4"/>
        <v>98127.747999999992</v>
      </c>
      <c r="AH10" s="183">
        <f t="shared" si="2"/>
        <v>8214.6980000000003</v>
      </c>
      <c r="AI10" s="562" t="s">
        <v>84</v>
      </c>
      <c r="AJ10" s="198"/>
      <c r="AK10" s="245"/>
      <c r="AL10" s="555" t="s">
        <v>84</v>
      </c>
      <c r="AM10" s="60">
        <v>17838.895</v>
      </c>
      <c r="AN10" s="61">
        <v>11967.59</v>
      </c>
      <c r="AO10" s="65">
        <f>(AH10-AM10)</f>
        <v>-9624.1970000000001</v>
      </c>
      <c r="AP10" s="61">
        <v>16887.075000000001</v>
      </c>
      <c r="AQ10" s="61">
        <v>1983.1010000000001</v>
      </c>
      <c r="AR10" s="65">
        <f t="shared" si="3"/>
        <v>5279.777</v>
      </c>
      <c r="AS10" s="61">
        <v>23.869</v>
      </c>
      <c r="AT10" s="63"/>
      <c r="AU10" s="65">
        <f>AR10+AS10-AT10</f>
        <v>5303.6459999999997</v>
      </c>
      <c r="AV10" s="61">
        <v>185</v>
      </c>
      <c r="AW10" s="64"/>
      <c r="AX10" s="246">
        <f>AU10-AV10+AW10</f>
        <v>5118.6459999999997</v>
      </c>
      <c r="AY10" s="65">
        <v>82572.357000000004</v>
      </c>
      <c r="AZ10" s="247"/>
      <c r="BA10" s="71">
        <f t="shared" si="5"/>
        <v>87691.002999999997</v>
      </c>
      <c r="BB10" s="555" t="s">
        <v>84</v>
      </c>
    </row>
    <row r="11" spans="1:169" ht="25.5" customHeight="1" x14ac:dyDescent="0.15">
      <c r="B11" s="250" t="s">
        <v>9</v>
      </c>
      <c r="C11" s="563" t="s">
        <v>85</v>
      </c>
      <c r="D11" s="184"/>
      <c r="E11" s="185"/>
      <c r="F11" s="182">
        <f>D11-E11</f>
        <v>0</v>
      </c>
      <c r="G11" s="185">
        <v>131.054</v>
      </c>
      <c r="H11" s="185"/>
      <c r="I11" s="182">
        <f>(G11-H11)</f>
        <v>131.054</v>
      </c>
      <c r="J11" s="185">
        <v>5204.1149999999998</v>
      </c>
      <c r="K11" s="185">
        <v>5031.1379999999999</v>
      </c>
      <c r="L11" s="182">
        <f>(J11-K11)</f>
        <v>172.97699999999986</v>
      </c>
      <c r="M11" s="185"/>
      <c r="N11" s="185"/>
      <c r="O11" s="182">
        <f>(M11-N11)</f>
        <v>0</v>
      </c>
      <c r="P11" s="185">
        <f>176287.972+66544.046</f>
        <v>242832.01800000001</v>
      </c>
      <c r="Q11" s="185">
        <f>107584.688+28987.722</f>
        <v>136572.41</v>
      </c>
      <c r="R11" s="186">
        <f>(P11-Q11)</f>
        <v>106259.60800000001</v>
      </c>
      <c r="S11" s="132" t="s">
        <v>85</v>
      </c>
      <c r="T11" s="198"/>
      <c r="U11" s="252" t="s">
        <v>9</v>
      </c>
      <c r="V11" s="563" t="s">
        <v>85</v>
      </c>
      <c r="W11" s="184"/>
      <c r="X11" s="185"/>
      <c r="Y11" s="182">
        <f>(W11-X11)</f>
        <v>0</v>
      </c>
      <c r="Z11" s="185"/>
      <c r="AA11" s="185"/>
      <c r="AB11" s="182">
        <f>(Z11-AA11)</f>
        <v>0</v>
      </c>
      <c r="AC11" s="185">
        <f>607.433+814.5</f>
        <v>1421.933</v>
      </c>
      <c r="AD11" s="253">
        <v>255.65600000000001</v>
      </c>
      <c r="AE11" s="182">
        <f>(AC11-AD11)</f>
        <v>1166.277</v>
      </c>
      <c r="AF11" s="182">
        <f t="shared" si="1"/>
        <v>249589.12</v>
      </c>
      <c r="AG11" s="182">
        <f t="shared" si="4"/>
        <v>141859.204</v>
      </c>
      <c r="AH11" s="186">
        <f>F11+I11+L11+O11+R11+Y11+AB11+AE11</f>
        <v>107729.91600000001</v>
      </c>
      <c r="AI11" s="132" t="s">
        <v>85</v>
      </c>
      <c r="AJ11" s="198"/>
      <c r="AK11" s="252" t="s">
        <v>9</v>
      </c>
      <c r="AL11" s="563" t="s">
        <v>85</v>
      </c>
      <c r="AM11" s="67">
        <v>73591.557000000001</v>
      </c>
      <c r="AN11" s="68">
        <v>40417.495000000003</v>
      </c>
      <c r="AO11" s="62">
        <f>(AH11-AM11)</f>
        <v>34138.359000000011</v>
      </c>
      <c r="AP11" s="68">
        <v>3646.6439999999998</v>
      </c>
      <c r="AQ11" s="68">
        <v>2987.518</v>
      </c>
      <c r="AR11" s="62">
        <f t="shared" si="3"/>
        <v>34797.485000000015</v>
      </c>
      <c r="AS11" s="68">
        <v>31688.151000000002</v>
      </c>
      <c r="AT11" s="69">
        <v>31413.888999999999</v>
      </c>
      <c r="AU11" s="62">
        <f>AR11+AS11-AT11</f>
        <v>35071.747000000018</v>
      </c>
      <c r="AV11" s="68">
        <v>8670.9030000000002</v>
      </c>
      <c r="AW11" s="70"/>
      <c r="AX11" s="254">
        <f t="shared" ref="AX11:AX18" si="10">AU11-AV11+AW11</f>
        <v>26400.844000000019</v>
      </c>
      <c r="AY11" s="62">
        <v>86809.513999999996</v>
      </c>
      <c r="AZ11" s="255"/>
      <c r="BA11" s="71">
        <f t="shared" si="5"/>
        <v>113210.35800000001</v>
      </c>
      <c r="BB11" s="563" t="s">
        <v>85</v>
      </c>
    </row>
    <row r="12" spans="1:169" ht="25.5" customHeight="1" x14ac:dyDescent="0.15">
      <c r="A12" s="552" t="s">
        <v>325</v>
      </c>
      <c r="B12" s="250"/>
      <c r="C12" s="563" t="s">
        <v>262</v>
      </c>
      <c r="D12" s="184"/>
      <c r="E12" s="185"/>
      <c r="F12" s="182">
        <f>D12-E12</f>
        <v>0</v>
      </c>
      <c r="G12" s="185">
        <v>216.46700000000001</v>
      </c>
      <c r="H12" s="185">
        <v>6.5000000000000002E-2</v>
      </c>
      <c r="I12" s="182">
        <f>(G12-H12)</f>
        <v>216.40200000000002</v>
      </c>
      <c r="J12" s="185">
        <v>15631.016</v>
      </c>
      <c r="K12" s="185">
        <v>14187.065000000001</v>
      </c>
      <c r="L12" s="182">
        <f>(J12-K12)</f>
        <v>1443.9509999999991</v>
      </c>
      <c r="M12" s="185"/>
      <c r="N12" s="185"/>
      <c r="O12" s="182">
        <f>(M12-N12)</f>
        <v>0</v>
      </c>
      <c r="P12" s="185">
        <f>62623.451+84431.523</f>
        <v>147054.97399999999</v>
      </c>
      <c r="Q12" s="185">
        <f>48227.94+67059.409</f>
        <v>115287.349</v>
      </c>
      <c r="R12" s="186">
        <f>(P12-Q12)</f>
        <v>31767.624999999985</v>
      </c>
      <c r="S12" s="132" t="s">
        <v>261</v>
      </c>
      <c r="T12" s="444" t="s">
        <v>326</v>
      </c>
      <c r="U12" s="252"/>
      <c r="V12" s="563" t="s">
        <v>261</v>
      </c>
      <c r="W12" s="184"/>
      <c r="X12" s="185"/>
      <c r="Y12" s="182">
        <f>(W12-X12)</f>
        <v>0</v>
      </c>
      <c r="Z12" s="185"/>
      <c r="AA12" s="185"/>
      <c r="AB12" s="182">
        <f>(Z12-AA12)</f>
        <v>0</v>
      </c>
      <c r="AC12" s="185">
        <f>7809.203+80</f>
        <v>7889.2030000000004</v>
      </c>
      <c r="AD12" s="185">
        <f>11488.749</f>
        <v>11488.749</v>
      </c>
      <c r="AE12" s="182">
        <f>(AC12-AD12)</f>
        <v>-3599.5459999999994</v>
      </c>
      <c r="AF12" s="182">
        <f>D12+G12+J12+M12+P12+W12+Z12+AC12</f>
        <v>170791.66</v>
      </c>
      <c r="AG12" s="182">
        <f>E12+H12+K12+N12+Q12+X12+AA12+AD12</f>
        <v>140963.228</v>
      </c>
      <c r="AH12" s="186">
        <f t="shared" si="2"/>
        <v>29828.43199999999</v>
      </c>
      <c r="AI12" s="132" t="s">
        <v>261</v>
      </c>
      <c r="AJ12" s="444" t="s">
        <v>327</v>
      </c>
      <c r="AK12" s="252"/>
      <c r="AL12" s="563" t="s">
        <v>261</v>
      </c>
      <c r="AM12" s="67">
        <v>31724.425999999999</v>
      </c>
      <c r="AN12" s="68">
        <v>24179.014999999999</v>
      </c>
      <c r="AO12" s="62">
        <f>(AH12-AM12)</f>
        <v>-1895.9940000000097</v>
      </c>
      <c r="AP12" s="68">
        <v>7864.21</v>
      </c>
      <c r="AQ12" s="68">
        <v>8938.35</v>
      </c>
      <c r="AR12" s="62">
        <f t="shared" si="3"/>
        <v>-2970.13400000001</v>
      </c>
      <c r="AS12" s="68"/>
      <c r="AT12" s="69"/>
      <c r="AU12" s="62">
        <f>AR12+AS12-AT12</f>
        <v>-2970.13400000001</v>
      </c>
      <c r="AV12" s="68">
        <v>348.45400000000001</v>
      </c>
      <c r="AW12" s="70"/>
      <c r="AX12" s="254">
        <f t="shared" si="10"/>
        <v>-3318.5880000000102</v>
      </c>
      <c r="AY12" s="62">
        <v>6620.2340000000004</v>
      </c>
      <c r="AZ12" s="255"/>
      <c r="BA12" s="71">
        <f t="shared" si="5"/>
        <v>3301.6459999999902</v>
      </c>
      <c r="BB12" s="563" t="s">
        <v>261</v>
      </c>
    </row>
    <row r="13" spans="1:169" ht="25.5" customHeight="1" x14ac:dyDescent="0.15">
      <c r="A13" s="552"/>
      <c r="B13" s="250" t="s">
        <v>87</v>
      </c>
      <c r="C13" s="563" t="s">
        <v>86</v>
      </c>
      <c r="D13" s="184"/>
      <c r="E13" s="185"/>
      <c r="F13" s="182">
        <f>D13-E13</f>
        <v>0</v>
      </c>
      <c r="G13" s="185"/>
      <c r="H13" s="185"/>
      <c r="I13" s="182">
        <f>(G13-H13)</f>
        <v>0</v>
      </c>
      <c r="J13" s="185">
        <v>1252.905</v>
      </c>
      <c r="K13" s="185">
        <v>163.86799999999999</v>
      </c>
      <c r="L13" s="182">
        <f>(J13-K13)</f>
        <v>1089.037</v>
      </c>
      <c r="M13" s="185"/>
      <c r="N13" s="185"/>
      <c r="O13" s="182">
        <f>(M13-N13)</f>
        <v>0</v>
      </c>
      <c r="P13" s="185"/>
      <c r="Q13" s="185"/>
      <c r="R13" s="186">
        <f>(P13-Q13)</f>
        <v>0</v>
      </c>
      <c r="S13" s="132" t="s">
        <v>86</v>
      </c>
      <c r="T13" s="444"/>
      <c r="U13" s="252" t="s">
        <v>87</v>
      </c>
      <c r="V13" s="563" t="s">
        <v>86</v>
      </c>
      <c r="W13" s="184"/>
      <c r="X13" s="185"/>
      <c r="Y13" s="182">
        <f>(W13-X13)</f>
        <v>0</v>
      </c>
      <c r="Z13" s="185"/>
      <c r="AA13" s="185"/>
      <c r="AB13" s="182">
        <f>(Z13-AA13)</f>
        <v>0</v>
      </c>
      <c r="AC13" s="185"/>
      <c r="AD13" s="185"/>
      <c r="AE13" s="191">
        <f>(AC13-AD13)</f>
        <v>0</v>
      </c>
      <c r="AF13" s="182">
        <f t="shared" si="1"/>
        <v>1252.905</v>
      </c>
      <c r="AG13" s="182">
        <f t="shared" si="4"/>
        <v>163.86799999999999</v>
      </c>
      <c r="AH13" s="186">
        <f t="shared" si="2"/>
        <v>1089.037</v>
      </c>
      <c r="AI13" s="132" t="s">
        <v>86</v>
      </c>
      <c r="AJ13" s="444"/>
      <c r="AK13" s="252" t="s">
        <v>87</v>
      </c>
      <c r="AL13" s="563" t="s">
        <v>86</v>
      </c>
      <c r="AM13" s="67">
        <v>1508.914</v>
      </c>
      <c r="AN13" s="68">
        <v>720</v>
      </c>
      <c r="AO13" s="62">
        <f>(AH13-AM13)</f>
        <v>-419.87699999999995</v>
      </c>
      <c r="AP13" s="68">
        <f>419.877+986.035</f>
        <v>1405.912</v>
      </c>
      <c r="AQ13" s="68"/>
      <c r="AR13" s="62">
        <f t="shared" si="3"/>
        <v>986.03500000000008</v>
      </c>
      <c r="AS13" s="68"/>
      <c r="AT13" s="69"/>
      <c r="AU13" s="62">
        <f>AR13+AS13-AT13</f>
        <v>986.03500000000008</v>
      </c>
      <c r="AV13" s="68">
        <v>267.10000000000002</v>
      </c>
      <c r="AW13" s="70"/>
      <c r="AX13" s="254">
        <f t="shared" si="10"/>
        <v>718.93500000000006</v>
      </c>
      <c r="AY13" s="62">
        <v>7032.67</v>
      </c>
      <c r="AZ13" s="255"/>
      <c r="BA13" s="71">
        <f t="shared" si="5"/>
        <v>7751.6050000000005</v>
      </c>
      <c r="BB13" s="563" t="s">
        <v>86</v>
      </c>
    </row>
    <row r="14" spans="1:169" ht="25.5" customHeight="1" x14ac:dyDescent="0.15">
      <c r="A14" s="262"/>
      <c r="B14" s="260"/>
      <c r="C14" s="59" t="s">
        <v>88</v>
      </c>
      <c r="D14" s="187">
        <f t="shared" ref="D14:M14" si="11">SUM(D10:D13)</f>
        <v>0</v>
      </c>
      <c r="E14" s="188">
        <f t="shared" si="11"/>
        <v>0</v>
      </c>
      <c r="F14" s="188">
        <f t="shared" si="11"/>
        <v>0</v>
      </c>
      <c r="G14" s="188">
        <f t="shared" si="11"/>
        <v>347.52100000000002</v>
      </c>
      <c r="H14" s="188">
        <f t="shared" si="11"/>
        <v>6.5000000000000002E-2</v>
      </c>
      <c r="I14" s="188">
        <f t="shared" si="11"/>
        <v>347.45600000000002</v>
      </c>
      <c r="J14" s="188">
        <f t="shared" si="11"/>
        <v>61698.243999999992</v>
      </c>
      <c r="K14" s="188">
        <f t="shared" si="11"/>
        <v>55476.83</v>
      </c>
      <c r="L14" s="188">
        <f t="shared" si="11"/>
        <v>6221.4139999999998</v>
      </c>
      <c r="M14" s="188">
        <f t="shared" si="11"/>
        <v>0</v>
      </c>
      <c r="N14" s="188">
        <f t="shared" ref="N14:AA14" si="12">SUM(N10:N13)</f>
        <v>0</v>
      </c>
      <c r="O14" s="188">
        <f t="shared" si="12"/>
        <v>0</v>
      </c>
      <c r="P14" s="188">
        <f t="shared" si="12"/>
        <v>456135.52999999997</v>
      </c>
      <c r="Q14" s="188">
        <f t="shared" si="12"/>
        <v>313892.74800000002</v>
      </c>
      <c r="R14" s="190">
        <f t="shared" si="12"/>
        <v>142242.78200000001</v>
      </c>
      <c r="S14" s="133" t="s">
        <v>88</v>
      </c>
      <c r="T14" s="263"/>
      <c r="U14" s="264"/>
      <c r="V14" s="59" t="s">
        <v>88</v>
      </c>
      <c r="W14" s="187">
        <f t="shared" si="12"/>
        <v>0</v>
      </c>
      <c r="X14" s="188">
        <f t="shared" si="12"/>
        <v>0</v>
      </c>
      <c r="Y14" s="188">
        <f t="shared" si="12"/>
        <v>0</v>
      </c>
      <c r="Z14" s="188">
        <f t="shared" si="12"/>
        <v>0</v>
      </c>
      <c r="AA14" s="188">
        <f t="shared" si="12"/>
        <v>0</v>
      </c>
      <c r="AB14" s="188">
        <f t="shared" ref="AB14:AO14" si="13">SUM(AB10:AB13)</f>
        <v>0</v>
      </c>
      <c r="AC14" s="188">
        <f t="shared" si="13"/>
        <v>9794.8360000000011</v>
      </c>
      <c r="AD14" s="188">
        <f t="shared" si="13"/>
        <v>11744.405000000001</v>
      </c>
      <c r="AE14" s="188">
        <f t="shared" si="13"/>
        <v>-1949.5689999999993</v>
      </c>
      <c r="AF14" s="196">
        <f t="shared" si="1"/>
        <v>527976.13099999994</v>
      </c>
      <c r="AG14" s="196">
        <f t="shared" si="4"/>
        <v>381114.04800000007</v>
      </c>
      <c r="AH14" s="265">
        <f t="shared" si="2"/>
        <v>146862.08300000001</v>
      </c>
      <c r="AI14" s="133" t="s">
        <v>88</v>
      </c>
      <c r="AJ14" s="263"/>
      <c r="AK14" s="264"/>
      <c r="AL14" s="59" t="s">
        <v>88</v>
      </c>
      <c r="AM14" s="266">
        <f t="shared" si="13"/>
        <v>124663.792</v>
      </c>
      <c r="AN14" s="267">
        <f t="shared" si="13"/>
        <v>77284.100000000006</v>
      </c>
      <c r="AO14" s="267">
        <f t="shared" si="13"/>
        <v>22198.291000000001</v>
      </c>
      <c r="AP14" s="267">
        <f t="shared" ref="AP14:AW14" si="14">SUM(AP10:AP13)</f>
        <v>29803.841</v>
      </c>
      <c r="AQ14" s="267">
        <f t="shared" si="14"/>
        <v>13908.969000000001</v>
      </c>
      <c r="AR14" s="267">
        <f t="shared" si="3"/>
        <v>38093.163</v>
      </c>
      <c r="AS14" s="267">
        <f t="shared" si="14"/>
        <v>31712.02</v>
      </c>
      <c r="AT14" s="268">
        <f t="shared" si="14"/>
        <v>31413.888999999999</v>
      </c>
      <c r="AU14" s="267">
        <f t="shared" si="14"/>
        <v>38391.294000000009</v>
      </c>
      <c r="AV14" s="267">
        <f t="shared" si="14"/>
        <v>9471.4570000000003</v>
      </c>
      <c r="AW14" s="267">
        <f t="shared" si="14"/>
        <v>0</v>
      </c>
      <c r="AX14" s="269">
        <f t="shared" si="10"/>
        <v>28919.837000000007</v>
      </c>
      <c r="AY14" s="267">
        <f>SUM(AY10:AY13)</f>
        <v>183034.77499999999</v>
      </c>
      <c r="AZ14" s="268">
        <f>SUM(AZ10:AZ13)</f>
        <v>0</v>
      </c>
      <c r="BA14" s="76">
        <f>SUM(BA10:BA13)</f>
        <v>211954.61199999999</v>
      </c>
      <c r="BB14" s="59" t="s">
        <v>88</v>
      </c>
    </row>
    <row r="15" spans="1:169" ht="25.5" customHeight="1" x14ac:dyDescent="0.15">
      <c r="B15" s="538" t="s">
        <v>177</v>
      </c>
      <c r="C15" s="609" t="s">
        <v>258</v>
      </c>
      <c r="D15" s="276"/>
      <c r="E15" s="253"/>
      <c r="F15" s="191">
        <f>(D15-E15)</f>
        <v>0</v>
      </c>
      <c r="G15" s="253"/>
      <c r="H15" s="253"/>
      <c r="I15" s="191">
        <f>(G15-H15)</f>
        <v>0</v>
      </c>
      <c r="J15" s="253">
        <v>6591.4679999999998</v>
      </c>
      <c r="K15" s="253">
        <v>6410.4480000000003</v>
      </c>
      <c r="L15" s="191">
        <f>(J15-K15)</f>
        <v>181.01999999999953</v>
      </c>
      <c r="M15" s="253"/>
      <c r="N15" s="253"/>
      <c r="O15" s="191">
        <f>(M15-N15)</f>
        <v>0</v>
      </c>
      <c r="P15" s="253">
        <v>26104.343000000001</v>
      </c>
      <c r="Q15" s="253">
        <v>39988.413999999997</v>
      </c>
      <c r="R15" s="192">
        <f>(P15-Q15)</f>
        <v>-13884.070999999996</v>
      </c>
      <c r="S15" s="610" t="s">
        <v>259</v>
      </c>
      <c r="T15" s="198"/>
      <c r="U15" s="538" t="s">
        <v>177</v>
      </c>
      <c r="V15" s="609" t="s">
        <v>259</v>
      </c>
      <c r="W15" s="276"/>
      <c r="X15" s="253"/>
      <c r="Y15" s="191">
        <f>(W15-X15)</f>
        <v>0</v>
      </c>
      <c r="Z15" s="253"/>
      <c r="AA15" s="253"/>
      <c r="AB15" s="191">
        <f>(Z15-AA15)</f>
        <v>0</v>
      </c>
      <c r="AC15" s="253">
        <v>53940</v>
      </c>
      <c r="AD15" s="253"/>
      <c r="AE15" s="191">
        <f>(AC15-AD15)</f>
        <v>53940</v>
      </c>
      <c r="AF15" s="191">
        <f>D15+G15+J15+M15+P15+W15+Z15+AC15</f>
        <v>86635.811000000002</v>
      </c>
      <c r="AG15" s="191">
        <f>E15+H15+K15+N15+Q15+X15+AA15+AD15</f>
        <v>46398.861999999994</v>
      </c>
      <c r="AH15" s="192">
        <f>F15+I15+L15+O15+R15+Y15+AB15+AE15</f>
        <v>40236.949000000008</v>
      </c>
      <c r="AI15" s="610" t="s">
        <v>259</v>
      </c>
      <c r="AJ15" s="198"/>
      <c r="AK15" s="612" t="s">
        <v>177</v>
      </c>
      <c r="AL15" s="609" t="s">
        <v>259</v>
      </c>
      <c r="AM15" s="277">
        <v>42590.866999999998</v>
      </c>
      <c r="AN15" s="278">
        <v>7333.0349999999999</v>
      </c>
      <c r="AO15" s="279">
        <f>(AH15-AM15)</f>
        <v>-2353.9179999999906</v>
      </c>
      <c r="AP15" s="278">
        <v>20119.881000000001</v>
      </c>
      <c r="AQ15" s="278">
        <v>18159.16</v>
      </c>
      <c r="AR15" s="279">
        <f t="shared" si="3"/>
        <v>-393.1969999999892</v>
      </c>
      <c r="AS15" s="278">
        <v>111.514</v>
      </c>
      <c r="AT15" s="280">
        <v>20648.246999999999</v>
      </c>
      <c r="AU15" s="255">
        <f>AR15+AS15-AT15</f>
        <v>-20929.929999999989</v>
      </c>
      <c r="AV15" s="278">
        <v>185</v>
      </c>
      <c r="AW15" s="281"/>
      <c r="AX15" s="282">
        <f>AU15-AV15+AW15</f>
        <v>-21114.929999999989</v>
      </c>
      <c r="AY15" s="279">
        <v>-86241.08</v>
      </c>
      <c r="AZ15" s="283"/>
      <c r="BA15" s="284">
        <f>AX15+AY15+AZ15</f>
        <v>-107356.01</v>
      </c>
      <c r="BB15" s="609" t="s">
        <v>259</v>
      </c>
      <c r="BC15" s="285"/>
      <c r="BD15" s="285"/>
      <c r="BE15" s="285"/>
      <c r="BF15" s="285"/>
      <c r="BG15" s="285"/>
      <c r="BH15" s="285"/>
      <c r="BI15" s="285"/>
      <c r="BJ15" s="285"/>
      <c r="BK15" s="285"/>
      <c r="BL15" s="285"/>
      <c r="BM15" s="285"/>
      <c r="BN15" s="285"/>
      <c r="BO15" s="285"/>
      <c r="BP15" s="285"/>
      <c r="BQ15" s="285"/>
      <c r="BR15" s="285"/>
      <c r="BS15" s="285"/>
      <c r="BT15" s="285"/>
      <c r="BU15" s="285"/>
      <c r="BV15" s="285"/>
      <c r="BW15" s="285"/>
      <c r="BX15" s="285"/>
      <c r="BY15" s="285"/>
      <c r="BZ15" s="285"/>
      <c r="CA15" s="285"/>
      <c r="CB15" s="285"/>
      <c r="CC15" s="285"/>
      <c r="CD15" s="285"/>
      <c r="CE15" s="285"/>
      <c r="CF15" s="285"/>
      <c r="CG15" s="285"/>
      <c r="CH15" s="285"/>
      <c r="CI15" s="285"/>
      <c r="CJ15" s="285"/>
      <c r="CK15" s="285"/>
      <c r="CL15" s="285"/>
      <c r="CM15" s="285"/>
      <c r="CN15" s="285"/>
      <c r="CO15" s="285"/>
      <c r="CP15" s="285"/>
      <c r="CQ15" s="285"/>
      <c r="CR15" s="285"/>
      <c r="CS15" s="285"/>
      <c r="CT15" s="285"/>
      <c r="CU15" s="285"/>
      <c r="CV15" s="285"/>
      <c r="CW15" s="285"/>
      <c r="CX15" s="285"/>
      <c r="CY15" s="285"/>
      <c r="CZ15" s="285"/>
      <c r="DA15" s="285"/>
      <c r="DB15" s="285"/>
      <c r="DC15" s="285"/>
      <c r="DD15" s="285"/>
      <c r="DE15" s="285"/>
      <c r="DF15" s="285"/>
      <c r="DG15" s="285"/>
      <c r="DH15" s="285"/>
      <c r="DI15" s="285"/>
      <c r="DJ15" s="285"/>
      <c r="DK15" s="285"/>
      <c r="DL15" s="285"/>
      <c r="DM15" s="285"/>
      <c r="DN15" s="285"/>
      <c r="DO15" s="285"/>
      <c r="DP15" s="285"/>
      <c r="DQ15" s="285"/>
      <c r="DR15" s="285"/>
      <c r="DS15" s="285"/>
      <c r="DT15" s="285"/>
      <c r="DU15" s="285"/>
      <c r="DV15" s="285"/>
      <c r="DW15" s="285"/>
      <c r="DX15" s="285"/>
      <c r="DY15" s="285"/>
      <c r="DZ15" s="285"/>
      <c r="EA15" s="285"/>
      <c r="EB15" s="285"/>
      <c r="EC15" s="285"/>
      <c r="ED15" s="285"/>
      <c r="EE15" s="285"/>
      <c r="EF15" s="285"/>
      <c r="EG15" s="285"/>
      <c r="EH15" s="285"/>
      <c r="EI15" s="285"/>
      <c r="EJ15" s="285"/>
      <c r="EK15" s="285"/>
      <c r="EL15" s="285"/>
      <c r="EM15" s="285"/>
      <c r="EN15" s="285"/>
      <c r="EO15" s="285"/>
      <c r="EP15" s="285"/>
      <c r="EQ15" s="285"/>
      <c r="ER15" s="285"/>
      <c r="ES15" s="285"/>
      <c r="ET15" s="285"/>
      <c r="EU15" s="285"/>
      <c r="EV15" s="285"/>
      <c r="EW15" s="285"/>
      <c r="EX15" s="285"/>
      <c r="EY15" s="285"/>
      <c r="EZ15" s="285"/>
      <c r="FA15" s="285"/>
      <c r="FB15" s="285"/>
      <c r="FC15" s="285"/>
      <c r="FD15" s="285"/>
      <c r="FE15" s="285"/>
      <c r="FF15" s="285"/>
      <c r="FG15" s="285"/>
      <c r="FH15" s="285"/>
      <c r="FI15" s="285"/>
      <c r="FJ15" s="285"/>
      <c r="FK15" s="285"/>
      <c r="FL15" s="285"/>
      <c r="FM15" s="285"/>
    </row>
    <row r="16" spans="1:169" ht="25.5" customHeight="1" x14ac:dyDescent="0.15">
      <c r="B16" s="429"/>
      <c r="C16" s="563" t="s">
        <v>199</v>
      </c>
      <c r="D16" s="184"/>
      <c r="E16" s="185"/>
      <c r="F16" s="182">
        <f>D16-E16</f>
        <v>0</v>
      </c>
      <c r="G16" s="185">
        <v>159.19800000000001</v>
      </c>
      <c r="H16" s="185"/>
      <c r="I16" s="182">
        <f>(G16-H16)</f>
        <v>159.19800000000001</v>
      </c>
      <c r="J16" s="287">
        <v>4152.8649999999998</v>
      </c>
      <c r="K16" s="287">
        <v>3950.84</v>
      </c>
      <c r="L16" s="182">
        <f>(J16-K16)</f>
        <v>202.02499999999964</v>
      </c>
      <c r="M16" s="185">
        <v>312186.78200000001</v>
      </c>
      <c r="N16" s="185">
        <v>307407.81</v>
      </c>
      <c r="O16" s="182">
        <f>(M16-N16)</f>
        <v>4778.9720000000088</v>
      </c>
      <c r="P16" s="185">
        <v>80921.157000000007</v>
      </c>
      <c r="Q16" s="185">
        <v>67438.324999999997</v>
      </c>
      <c r="R16" s="186">
        <f>(P16-Q16)</f>
        <v>13482.832000000009</v>
      </c>
      <c r="S16" s="132" t="s">
        <v>199</v>
      </c>
      <c r="T16" s="198"/>
      <c r="U16" s="429"/>
      <c r="V16" s="563" t="s">
        <v>199</v>
      </c>
      <c r="W16" s="184">
        <v>5936.6559999999999</v>
      </c>
      <c r="X16" s="185">
        <v>3011.2840000000001</v>
      </c>
      <c r="Y16" s="182">
        <f>(W16-X16)</f>
        <v>2925.3719999999998</v>
      </c>
      <c r="Z16" s="185"/>
      <c r="AA16" s="185"/>
      <c r="AB16" s="182">
        <f>(Z16-AA16)</f>
        <v>0</v>
      </c>
      <c r="AC16" s="185"/>
      <c r="AD16" s="185"/>
      <c r="AE16" s="182">
        <f>(AC16-AD16)</f>
        <v>0</v>
      </c>
      <c r="AF16" s="182">
        <f t="shared" si="1"/>
        <v>403356.65800000005</v>
      </c>
      <c r="AG16" s="182">
        <f t="shared" si="4"/>
        <v>381808.25900000002</v>
      </c>
      <c r="AH16" s="186">
        <f t="shared" si="2"/>
        <v>21548.399000000016</v>
      </c>
      <c r="AI16" s="132" t="s">
        <v>199</v>
      </c>
      <c r="AJ16" s="198"/>
      <c r="AK16" s="613"/>
      <c r="AL16" s="563" t="s">
        <v>199</v>
      </c>
      <c r="AM16" s="67">
        <v>12556.174000000001</v>
      </c>
      <c r="AN16" s="68">
        <v>7839.4319999999998</v>
      </c>
      <c r="AO16" s="62">
        <f>(AH16-AM16)</f>
        <v>8992.2250000000149</v>
      </c>
      <c r="AP16" s="68">
        <v>16256.723</v>
      </c>
      <c r="AQ16" s="68">
        <v>22921.946</v>
      </c>
      <c r="AR16" s="62">
        <f t="shared" si="3"/>
        <v>2327.002000000015</v>
      </c>
      <c r="AS16" s="68"/>
      <c r="AT16" s="69">
        <v>1.0760000000000001</v>
      </c>
      <c r="AU16" s="255">
        <f>AR16+AS16-AT16</f>
        <v>2325.9260000000149</v>
      </c>
      <c r="AV16" s="68">
        <v>185</v>
      </c>
      <c r="AW16" s="70"/>
      <c r="AX16" s="254">
        <f t="shared" si="10"/>
        <v>2140.9260000000149</v>
      </c>
      <c r="AY16" s="62">
        <v>-14482.574000000001</v>
      </c>
      <c r="AZ16" s="255"/>
      <c r="BA16" s="71">
        <f t="shared" si="5"/>
        <v>-12341.647999999986</v>
      </c>
      <c r="BB16" s="563" t="s">
        <v>199</v>
      </c>
      <c r="BC16" s="285"/>
      <c r="BD16" s="285"/>
      <c r="BE16" s="285"/>
      <c r="BF16" s="285"/>
      <c r="BG16" s="285"/>
      <c r="BH16" s="285"/>
      <c r="BI16" s="285"/>
      <c r="BJ16" s="285"/>
      <c r="BK16" s="285"/>
      <c r="BL16" s="285"/>
      <c r="BM16" s="285"/>
      <c r="BN16" s="285"/>
      <c r="BO16" s="285"/>
      <c r="BP16" s="285"/>
      <c r="BQ16" s="285"/>
      <c r="BR16" s="285"/>
      <c r="BS16" s="285"/>
      <c r="BT16" s="285"/>
      <c r="BU16" s="285"/>
      <c r="BV16" s="285"/>
      <c r="BW16" s="285"/>
      <c r="BX16" s="285"/>
      <c r="BY16" s="285"/>
      <c r="BZ16" s="285"/>
      <c r="CA16" s="285"/>
      <c r="CB16" s="285"/>
      <c r="CC16" s="285"/>
      <c r="CD16" s="285"/>
      <c r="CE16" s="285"/>
      <c r="CF16" s="285"/>
      <c r="CG16" s="285"/>
      <c r="CH16" s="285"/>
      <c r="CI16" s="285"/>
      <c r="CJ16" s="285"/>
      <c r="CK16" s="285"/>
      <c r="CL16" s="285"/>
      <c r="CM16" s="285"/>
      <c r="CN16" s="285"/>
      <c r="CO16" s="285"/>
      <c r="CP16" s="285"/>
      <c r="CQ16" s="285"/>
      <c r="CR16" s="285"/>
      <c r="CS16" s="285"/>
      <c r="CT16" s="285"/>
      <c r="CU16" s="285"/>
      <c r="CV16" s="285"/>
      <c r="CW16" s="285"/>
      <c r="CX16" s="285"/>
      <c r="CY16" s="285"/>
      <c r="CZ16" s="285"/>
      <c r="DA16" s="285"/>
      <c r="DB16" s="285"/>
      <c r="DC16" s="285"/>
      <c r="DD16" s="285"/>
      <c r="DE16" s="285"/>
      <c r="DF16" s="285"/>
      <c r="DG16" s="285"/>
      <c r="DH16" s="285"/>
      <c r="DI16" s="285"/>
      <c r="DJ16" s="285"/>
      <c r="DK16" s="285"/>
      <c r="DL16" s="285"/>
      <c r="DM16" s="285"/>
      <c r="DN16" s="285"/>
      <c r="DO16" s="285"/>
      <c r="DP16" s="285"/>
      <c r="DQ16" s="285"/>
      <c r="DR16" s="285"/>
      <c r="DS16" s="285"/>
      <c r="DT16" s="285"/>
      <c r="DU16" s="285"/>
      <c r="DV16" s="285"/>
      <c r="DW16" s="285"/>
      <c r="DX16" s="285"/>
      <c r="DY16" s="285"/>
      <c r="DZ16" s="285"/>
      <c r="EA16" s="285"/>
      <c r="EB16" s="285"/>
      <c r="EC16" s="285"/>
      <c r="ED16" s="285"/>
      <c r="EE16" s="285"/>
      <c r="EF16" s="285"/>
      <c r="EG16" s="285"/>
      <c r="EH16" s="285"/>
      <c r="EI16" s="285"/>
      <c r="EJ16" s="285"/>
      <c r="EK16" s="285"/>
      <c r="EL16" s="285"/>
      <c r="EM16" s="285"/>
      <c r="EN16" s="285"/>
      <c r="EO16" s="285"/>
      <c r="EP16" s="285"/>
      <c r="EQ16" s="285"/>
      <c r="ER16" s="285"/>
      <c r="ES16" s="285"/>
      <c r="ET16" s="285"/>
      <c r="EU16" s="285"/>
      <c r="EV16" s="285"/>
      <c r="EW16" s="285"/>
      <c r="EX16" s="285"/>
      <c r="EY16" s="285"/>
      <c r="EZ16" s="285"/>
      <c r="FA16" s="285"/>
      <c r="FB16" s="285"/>
      <c r="FC16" s="285"/>
      <c r="FD16" s="285"/>
      <c r="FE16" s="285"/>
      <c r="FF16" s="285"/>
      <c r="FG16" s="285"/>
      <c r="FH16" s="285"/>
      <c r="FI16" s="285"/>
      <c r="FJ16" s="285"/>
      <c r="FK16" s="285"/>
      <c r="FL16" s="285"/>
      <c r="FM16" s="285"/>
    </row>
    <row r="17" spans="2:169" ht="25.5" customHeight="1" x14ac:dyDescent="0.15">
      <c r="B17" s="429"/>
      <c r="C17" s="563" t="s">
        <v>200</v>
      </c>
      <c r="D17" s="184"/>
      <c r="E17" s="185"/>
      <c r="F17" s="182">
        <f>D17-E17</f>
        <v>0</v>
      </c>
      <c r="G17" s="185"/>
      <c r="H17" s="185"/>
      <c r="I17" s="182">
        <f>(G17-H17)</f>
        <v>0</v>
      </c>
      <c r="J17" s="185"/>
      <c r="K17" s="185"/>
      <c r="L17" s="182">
        <f>(J17-K17)</f>
        <v>0</v>
      </c>
      <c r="M17" s="185"/>
      <c r="N17" s="185"/>
      <c r="O17" s="182">
        <f>(M17-N17)</f>
        <v>0</v>
      </c>
      <c r="P17" s="185"/>
      <c r="Q17" s="185"/>
      <c r="R17" s="186">
        <f>(P17-Q17)</f>
        <v>0</v>
      </c>
      <c r="S17" s="132" t="s">
        <v>200</v>
      </c>
      <c r="T17" s="198"/>
      <c r="U17" s="429"/>
      <c r="V17" s="563" t="s">
        <v>200</v>
      </c>
      <c r="W17" s="184"/>
      <c r="X17" s="185"/>
      <c r="Y17" s="182">
        <f>(W17-X17)</f>
        <v>0</v>
      </c>
      <c r="Z17" s="185"/>
      <c r="AA17" s="185"/>
      <c r="AB17" s="182">
        <f>(Z17-AA17)</f>
        <v>0</v>
      </c>
      <c r="AC17" s="346">
        <f>133302.465+16268.89+6935.5+2868.311+940+3938.51</f>
        <v>164253.67599999998</v>
      </c>
      <c r="AD17" s="185">
        <f>95557.963+13874.066+6585.098+2011.957+6.35+3750.502</f>
        <v>121785.936</v>
      </c>
      <c r="AE17" s="182">
        <f>(AC17-AD17)</f>
        <v>42467.739999999976</v>
      </c>
      <c r="AF17" s="182">
        <f t="shared" si="1"/>
        <v>164253.67599999998</v>
      </c>
      <c r="AG17" s="182">
        <f t="shared" si="4"/>
        <v>121785.936</v>
      </c>
      <c r="AH17" s="186">
        <f t="shared" si="2"/>
        <v>42467.739999999976</v>
      </c>
      <c r="AI17" s="132" t="s">
        <v>200</v>
      </c>
      <c r="AJ17" s="198"/>
      <c r="AK17" s="613"/>
      <c r="AL17" s="563" t="s">
        <v>200</v>
      </c>
      <c r="AM17" s="67">
        <v>23099.924999999999</v>
      </c>
      <c r="AN17" s="68">
        <v>11880.954</v>
      </c>
      <c r="AO17" s="62">
        <f>(AH17-AM17)</f>
        <v>19367.814999999977</v>
      </c>
      <c r="AP17" s="68">
        <v>7342.9880000000003</v>
      </c>
      <c r="AQ17" s="68">
        <v>1489.48</v>
      </c>
      <c r="AR17" s="62">
        <f t="shared" si="3"/>
        <v>25221.322999999978</v>
      </c>
      <c r="AS17" s="611"/>
      <c r="AT17" s="69">
        <v>1</v>
      </c>
      <c r="AU17" s="255">
        <f>AR17+AS17-AT17</f>
        <v>25220.322999999978</v>
      </c>
      <c r="AV17" s="68">
        <v>5518</v>
      </c>
      <c r="AW17" s="70"/>
      <c r="AX17" s="254">
        <f t="shared" si="10"/>
        <v>19702.322999999978</v>
      </c>
      <c r="AY17" s="62"/>
      <c r="AZ17" s="255"/>
      <c r="BA17" s="71">
        <f t="shared" si="5"/>
        <v>19702.322999999978</v>
      </c>
      <c r="BB17" s="563" t="s">
        <v>200</v>
      </c>
      <c r="BC17" s="285"/>
      <c r="BD17" s="285"/>
      <c r="BE17" s="285"/>
      <c r="BF17" s="285"/>
      <c r="BG17" s="285"/>
      <c r="BH17" s="285"/>
      <c r="BI17" s="285"/>
      <c r="BJ17" s="285"/>
      <c r="BK17" s="285"/>
      <c r="BL17" s="285"/>
      <c r="BM17" s="285"/>
      <c r="BN17" s="285"/>
      <c r="BO17" s="285"/>
      <c r="BP17" s="285"/>
      <c r="BQ17" s="285"/>
      <c r="BR17" s="285"/>
      <c r="BS17" s="285"/>
      <c r="BT17" s="285"/>
      <c r="BU17" s="285"/>
      <c r="BV17" s="285"/>
      <c r="BW17" s="285"/>
      <c r="BX17" s="285"/>
      <c r="BY17" s="285"/>
      <c r="BZ17" s="285"/>
      <c r="CA17" s="285"/>
      <c r="CB17" s="285"/>
      <c r="CC17" s="285"/>
      <c r="CD17" s="285"/>
      <c r="CE17" s="285"/>
      <c r="CF17" s="285"/>
      <c r="CG17" s="285"/>
      <c r="CH17" s="285"/>
      <c r="CI17" s="285"/>
      <c r="CJ17" s="285"/>
      <c r="CK17" s="285"/>
      <c r="CL17" s="285"/>
      <c r="CM17" s="285"/>
      <c r="CN17" s="285"/>
      <c r="CO17" s="285"/>
      <c r="CP17" s="285"/>
      <c r="CQ17" s="285"/>
      <c r="CR17" s="285"/>
      <c r="CS17" s="285"/>
      <c r="CT17" s="285"/>
      <c r="CU17" s="285"/>
      <c r="CV17" s="285"/>
      <c r="CW17" s="285"/>
      <c r="CX17" s="285"/>
      <c r="CY17" s="285"/>
      <c r="CZ17" s="285"/>
      <c r="DA17" s="285"/>
      <c r="DB17" s="285"/>
      <c r="DC17" s="285"/>
      <c r="DD17" s="285"/>
      <c r="DE17" s="285"/>
      <c r="DF17" s="285"/>
      <c r="DG17" s="285"/>
      <c r="DH17" s="285"/>
      <c r="DI17" s="285"/>
      <c r="DJ17" s="285"/>
      <c r="DK17" s="285"/>
      <c r="DL17" s="285"/>
      <c r="DM17" s="285"/>
      <c r="DN17" s="285"/>
      <c r="DO17" s="285"/>
      <c r="DP17" s="285"/>
      <c r="DQ17" s="285"/>
      <c r="DR17" s="285"/>
      <c r="DS17" s="285"/>
      <c r="DT17" s="285"/>
      <c r="DU17" s="285"/>
      <c r="DV17" s="285"/>
      <c r="DW17" s="285"/>
      <c r="DX17" s="285"/>
      <c r="DY17" s="285"/>
      <c r="DZ17" s="285"/>
      <c r="EA17" s="285"/>
      <c r="EB17" s="285"/>
      <c r="EC17" s="285"/>
      <c r="ED17" s="285"/>
      <c r="EE17" s="285"/>
      <c r="EF17" s="285"/>
      <c r="EG17" s="285"/>
      <c r="EH17" s="285"/>
      <c r="EI17" s="285"/>
      <c r="EJ17" s="285"/>
      <c r="EK17" s="285"/>
      <c r="EL17" s="285"/>
      <c r="EM17" s="285"/>
      <c r="EN17" s="285"/>
      <c r="EO17" s="285"/>
      <c r="EP17" s="285"/>
      <c r="EQ17" s="285"/>
      <c r="ER17" s="285"/>
      <c r="ES17" s="285"/>
      <c r="ET17" s="285"/>
      <c r="EU17" s="285"/>
      <c r="EV17" s="285"/>
      <c r="EW17" s="285"/>
      <c r="EX17" s="285"/>
      <c r="EY17" s="285"/>
      <c r="EZ17" s="285"/>
      <c r="FA17" s="285"/>
      <c r="FB17" s="285"/>
      <c r="FC17" s="285"/>
      <c r="FD17" s="285"/>
      <c r="FE17" s="285"/>
      <c r="FF17" s="285"/>
      <c r="FG17" s="285"/>
      <c r="FH17" s="285"/>
      <c r="FI17" s="285"/>
      <c r="FJ17" s="285"/>
      <c r="FK17" s="285"/>
      <c r="FL17" s="285"/>
      <c r="FM17" s="285"/>
    </row>
    <row r="18" spans="2:169" ht="25.5" customHeight="1" x14ac:dyDescent="0.15">
      <c r="B18" s="429"/>
      <c r="C18" s="563" t="s">
        <v>201</v>
      </c>
      <c r="D18" s="184"/>
      <c r="E18" s="185"/>
      <c r="F18" s="182">
        <f>D18-E18</f>
        <v>0</v>
      </c>
      <c r="G18" s="185"/>
      <c r="H18" s="185"/>
      <c r="I18" s="182">
        <f>(G18-H18)</f>
        <v>0</v>
      </c>
      <c r="J18" s="185">
        <v>211698.405</v>
      </c>
      <c r="K18" s="185">
        <v>167384.43100000001</v>
      </c>
      <c r="L18" s="182">
        <f>(J18-K18)</f>
        <v>44313.973999999987</v>
      </c>
      <c r="M18" s="185">
        <f>45602.05+378218.084</f>
        <v>423820.13399999996</v>
      </c>
      <c r="N18" s="185">
        <v>358853.88299999997</v>
      </c>
      <c r="O18" s="182">
        <f>(M18-N18)</f>
        <v>64966.250999999989</v>
      </c>
      <c r="P18" s="185">
        <f>360492.261+62508.008+428</f>
        <v>423428.26899999997</v>
      </c>
      <c r="Q18" s="185">
        <v>0</v>
      </c>
      <c r="R18" s="186">
        <f>(P18-Q18)</f>
        <v>423428.26899999997</v>
      </c>
      <c r="S18" s="132" t="s">
        <v>201</v>
      </c>
      <c r="T18" s="198"/>
      <c r="U18" s="429"/>
      <c r="V18" s="563" t="s">
        <v>201</v>
      </c>
      <c r="W18" s="184"/>
      <c r="X18" s="185"/>
      <c r="Y18" s="182">
        <f>(W18-X18)</f>
        <v>0</v>
      </c>
      <c r="Z18" s="185"/>
      <c r="AA18" s="185"/>
      <c r="AB18" s="182">
        <f>(Z18-AA18)</f>
        <v>0</v>
      </c>
      <c r="AC18" s="185">
        <f>75673.253+36316.682</f>
        <v>111989.935</v>
      </c>
      <c r="AD18" s="185">
        <f>1046968.464-358853.883-167384.431</f>
        <v>520730.15</v>
      </c>
      <c r="AE18" s="182">
        <f>(AC18-AD18)</f>
        <v>-408740.21500000003</v>
      </c>
      <c r="AF18" s="182">
        <f t="shared" si="1"/>
        <v>1170936.743</v>
      </c>
      <c r="AG18" s="182">
        <f t="shared" si="4"/>
        <v>1046968.464</v>
      </c>
      <c r="AH18" s="186">
        <f>F18+I18+L18+O18+R18+Y18+AB18+AE18</f>
        <v>123968.27899999992</v>
      </c>
      <c r="AI18" s="132" t="s">
        <v>201</v>
      </c>
      <c r="AJ18" s="198"/>
      <c r="AK18" s="613"/>
      <c r="AL18" s="563" t="s">
        <v>201</v>
      </c>
      <c r="AM18" s="67">
        <v>91854.312999999995</v>
      </c>
      <c r="AN18" s="68">
        <f>9276+4379.123+540+1664+2097.717+4300.833+442.844+736.923</f>
        <v>23437.439999999999</v>
      </c>
      <c r="AO18" s="62">
        <f>(AH18-AM18)</f>
        <v>32113.965999999928</v>
      </c>
      <c r="AP18" s="68">
        <v>9351.1710000000003</v>
      </c>
      <c r="AQ18" s="68">
        <v>27837.368999999999</v>
      </c>
      <c r="AR18" s="62">
        <f t="shared" si="3"/>
        <v>13627.767999999931</v>
      </c>
      <c r="AS18" s="69">
        <v>77401.22</v>
      </c>
      <c r="AT18" s="69">
        <v>81557.993000000002</v>
      </c>
      <c r="AU18" s="255">
        <f>AR18+AS18-AT18</f>
        <v>9470.9949999999226</v>
      </c>
      <c r="AV18" s="68">
        <v>185</v>
      </c>
      <c r="AW18" s="70"/>
      <c r="AX18" s="340">
        <f t="shared" si="10"/>
        <v>9285.9949999999226</v>
      </c>
      <c r="AY18" s="62">
        <v>-121783.97500000001</v>
      </c>
      <c r="AZ18" s="255"/>
      <c r="BA18" s="71">
        <f>AX18+AY18+AZ18</f>
        <v>-112497.98000000008</v>
      </c>
      <c r="BB18" s="563" t="s">
        <v>201</v>
      </c>
      <c r="BC18" s="285"/>
      <c r="BD18" s="285"/>
      <c r="BE18" s="285"/>
      <c r="BF18" s="285"/>
      <c r="BG18" s="285"/>
      <c r="BH18" s="285"/>
      <c r="BI18" s="285"/>
      <c r="BJ18" s="285"/>
      <c r="BK18" s="285"/>
      <c r="BL18" s="285"/>
      <c r="BM18" s="285"/>
      <c r="BN18" s="285"/>
      <c r="BO18" s="285"/>
      <c r="BP18" s="285"/>
      <c r="BQ18" s="285"/>
      <c r="BR18" s="285"/>
      <c r="BS18" s="285"/>
      <c r="BT18" s="285"/>
      <c r="BU18" s="285"/>
      <c r="BV18" s="285"/>
      <c r="BW18" s="285"/>
      <c r="BX18" s="285"/>
      <c r="BY18" s="285"/>
      <c r="BZ18" s="285"/>
      <c r="CA18" s="285"/>
      <c r="CB18" s="285"/>
      <c r="CC18" s="285"/>
      <c r="CD18" s="285"/>
      <c r="CE18" s="285"/>
      <c r="CF18" s="285"/>
      <c r="CG18" s="285"/>
      <c r="CH18" s="285"/>
      <c r="CI18" s="285"/>
      <c r="CJ18" s="285"/>
      <c r="CK18" s="285"/>
      <c r="CL18" s="285"/>
      <c r="CM18" s="285"/>
      <c r="CN18" s="285"/>
      <c r="CO18" s="285"/>
      <c r="CP18" s="285"/>
      <c r="CQ18" s="285"/>
      <c r="CR18" s="285"/>
      <c r="CS18" s="285"/>
      <c r="CT18" s="285"/>
      <c r="CU18" s="285"/>
      <c r="CV18" s="285"/>
      <c r="CW18" s="285"/>
      <c r="CX18" s="285"/>
      <c r="CY18" s="285"/>
      <c r="CZ18" s="285"/>
      <c r="DA18" s="285"/>
      <c r="DB18" s="285"/>
      <c r="DC18" s="285"/>
      <c r="DD18" s="285"/>
      <c r="DE18" s="285"/>
      <c r="DF18" s="285"/>
      <c r="DG18" s="285"/>
      <c r="DH18" s="285"/>
      <c r="DI18" s="285"/>
      <c r="DJ18" s="285"/>
      <c r="DK18" s="285"/>
      <c r="DL18" s="285"/>
      <c r="DM18" s="285"/>
      <c r="DN18" s="285"/>
      <c r="DO18" s="285"/>
      <c r="DP18" s="285"/>
      <c r="DQ18" s="285"/>
      <c r="DR18" s="285"/>
      <c r="DS18" s="285"/>
      <c r="DT18" s="285"/>
      <c r="DU18" s="285"/>
      <c r="DV18" s="285"/>
      <c r="DW18" s="285"/>
      <c r="DX18" s="285"/>
      <c r="DY18" s="285"/>
      <c r="DZ18" s="285"/>
      <c r="EA18" s="285"/>
      <c r="EB18" s="285"/>
      <c r="EC18" s="285"/>
      <c r="ED18" s="285"/>
      <c r="EE18" s="285"/>
      <c r="EF18" s="285"/>
      <c r="EG18" s="285"/>
      <c r="EH18" s="285"/>
      <c r="EI18" s="285"/>
      <c r="EJ18" s="285"/>
      <c r="EK18" s="285"/>
      <c r="EL18" s="285"/>
      <c r="EM18" s="285"/>
      <c r="EN18" s="285"/>
      <c r="EO18" s="285"/>
      <c r="EP18" s="285"/>
      <c r="EQ18" s="285"/>
      <c r="ER18" s="285"/>
      <c r="ES18" s="285"/>
      <c r="ET18" s="285"/>
      <c r="EU18" s="285"/>
      <c r="EV18" s="285"/>
      <c r="EW18" s="285"/>
      <c r="EX18" s="285"/>
      <c r="EY18" s="285"/>
      <c r="EZ18" s="285"/>
      <c r="FA18" s="285"/>
      <c r="FB18" s="285"/>
      <c r="FC18" s="285"/>
      <c r="FD18" s="285"/>
      <c r="FE18" s="285"/>
      <c r="FF18" s="285"/>
      <c r="FG18" s="285"/>
      <c r="FH18" s="285"/>
      <c r="FI18" s="285"/>
      <c r="FJ18" s="285"/>
      <c r="FK18" s="285"/>
      <c r="FL18" s="285"/>
      <c r="FM18" s="285"/>
    </row>
    <row r="19" spans="2:169" s="46" customFormat="1" ht="25.5" customHeight="1" x14ac:dyDescent="0.15">
      <c r="B19" s="430"/>
      <c r="C19" s="338" t="s">
        <v>178</v>
      </c>
      <c r="D19" s="187">
        <f t="shared" ref="D19:M19" si="15">SUM(D15:D18)</f>
        <v>0</v>
      </c>
      <c r="E19" s="188">
        <f t="shared" si="15"/>
        <v>0</v>
      </c>
      <c r="F19" s="188">
        <f t="shared" si="15"/>
        <v>0</v>
      </c>
      <c r="G19" s="188">
        <f t="shared" si="15"/>
        <v>159.19800000000001</v>
      </c>
      <c r="H19" s="188">
        <f t="shared" si="15"/>
        <v>0</v>
      </c>
      <c r="I19" s="188">
        <f t="shared" si="15"/>
        <v>159.19800000000001</v>
      </c>
      <c r="J19" s="189">
        <f t="shared" si="15"/>
        <v>222442.73800000001</v>
      </c>
      <c r="K19" s="189">
        <f t="shared" si="15"/>
        <v>177745.71900000001</v>
      </c>
      <c r="L19" s="188">
        <f t="shared" si="15"/>
        <v>44697.018999999986</v>
      </c>
      <c r="M19" s="189">
        <f t="shared" si="15"/>
        <v>736006.91599999997</v>
      </c>
      <c r="N19" s="189">
        <f t="shared" ref="N19:AA19" si="16">SUM(N15:N18)</f>
        <v>666261.69299999997</v>
      </c>
      <c r="O19" s="188">
        <f t="shared" si="16"/>
        <v>69745.222999999998</v>
      </c>
      <c r="P19" s="188">
        <f t="shared" si="16"/>
        <v>530453.76899999997</v>
      </c>
      <c r="Q19" s="188">
        <f t="shared" si="16"/>
        <v>107426.739</v>
      </c>
      <c r="R19" s="190">
        <f t="shared" si="16"/>
        <v>423027.02999999997</v>
      </c>
      <c r="S19" s="339" t="s">
        <v>178</v>
      </c>
      <c r="T19" s="322"/>
      <c r="U19" s="430"/>
      <c r="V19" s="338" t="s">
        <v>178</v>
      </c>
      <c r="W19" s="187">
        <f t="shared" si="16"/>
        <v>5936.6559999999999</v>
      </c>
      <c r="X19" s="188">
        <f t="shared" si="16"/>
        <v>3011.2840000000001</v>
      </c>
      <c r="Y19" s="188">
        <f t="shared" si="16"/>
        <v>2925.3719999999998</v>
      </c>
      <c r="Z19" s="188">
        <f t="shared" si="16"/>
        <v>0</v>
      </c>
      <c r="AA19" s="188">
        <f t="shared" si="16"/>
        <v>0</v>
      </c>
      <c r="AB19" s="188">
        <f t="shared" ref="AB19:AO19" si="17">SUM(AB15:AB18)</f>
        <v>0</v>
      </c>
      <c r="AC19" s="188">
        <f t="shared" si="17"/>
        <v>330183.61099999998</v>
      </c>
      <c r="AD19" s="188">
        <f t="shared" si="17"/>
        <v>642516.08600000001</v>
      </c>
      <c r="AE19" s="196">
        <f t="shared" si="17"/>
        <v>-312332.47500000003</v>
      </c>
      <c r="AF19" s="191">
        <f t="shared" si="1"/>
        <v>1825182.8879999998</v>
      </c>
      <c r="AG19" s="191">
        <f t="shared" si="4"/>
        <v>1596961.5210000002</v>
      </c>
      <c r="AH19" s="192">
        <f t="shared" si="2"/>
        <v>228221.36699999991</v>
      </c>
      <c r="AI19" s="339" t="s">
        <v>178</v>
      </c>
      <c r="AJ19" s="322"/>
      <c r="AK19" s="614"/>
      <c r="AL19" s="338" t="s">
        <v>178</v>
      </c>
      <c r="AM19" s="341">
        <f t="shared" si="17"/>
        <v>170101.27899999998</v>
      </c>
      <c r="AN19" s="74">
        <f t="shared" si="17"/>
        <v>50490.861000000004</v>
      </c>
      <c r="AO19" s="74">
        <f t="shared" si="17"/>
        <v>58120.087999999931</v>
      </c>
      <c r="AP19" s="74">
        <f t="shared" ref="AP19:AX19" si="18">SUM(AP15:AP18)</f>
        <v>53070.762999999999</v>
      </c>
      <c r="AQ19" s="74">
        <f t="shared" si="18"/>
        <v>70407.955000000002</v>
      </c>
      <c r="AR19" s="73">
        <f t="shared" si="3"/>
        <v>40782.895999999935</v>
      </c>
      <c r="AS19" s="74">
        <f t="shared" si="18"/>
        <v>77512.733999999997</v>
      </c>
      <c r="AT19" s="74">
        <f t="shared" si="18"/>
        <v>102208.31600000001</v>
      </c>
      <c r="AU19" s="74">
        <f t="shared" si="18"/>
        <v>16087.313999999926</v>
      </c>
      <c r="AV19" s="74">
        <f t="shared" si="18"/>
        <v>6073</v>
      </c>
      <c r="AW19" s="74">
        <f t="shared" si="18"/>
        <v>0</v>
      </c>
      <c r="AX19" s="342">
        <f t="shared" si="18"/>
        <v>10014.313999999926</v>
      </c>
      <c r="AY19" s="73">
        <f>SUM(AY15:AY18)</f>
        <v>-222507.62900000002</v>
      </c>
      <c r="AZ19" s="74">
        <f>SUM(AZ15:AZ18)</f>
        <v>0</v>
      </c>
      <c r="BA19" s="71">
        <f>SUM(BA15:BA18)</f>
        <v>-212493.31500000009</v>
      </c>
      <c r="BB19" s="338" t="s">
        <v>178</v>
      </c>
    </row>
    <row r="20" spans="2:169" s="46" customFormat="1" ht="25.5" customHeight="1" x14ac:dyDescent="0.15">
      <c r="B20" s="553" t="s">
        <v>216</v>
      </c>
      <c r="C20" s="554"/>
      <c r="D20" s="193">
        <f t="shared" ref="D20:R20" si="19">((D9+D14)+D19)</f>
        <v>1631.6790000000001</v>
      </c>
      <c r="E20" s="194">
        <f t="shared" si="19"/>
        <v>745.49700000000007</v>
      </c>
      <c r="F20" s="194">
        <f t="shared" si="19"/>
        <v>886.18200000000002</v>
      </c>
      <c r="G20" s="194">
        <f t="shared" si="19"/>
        <v>760.37199999999996</v>
      </c>
      <c r="H20" s="194">
        <f t="shared" si="19"/>
        <v>2.2959999999999998</v>
      </c>
      <c r="I20" s="194">
        <f t="shared" si="19"/>
        <v>758.07600000000002</v>
      </c>
      <c r="J20" s="194">
        <f t="shared" si="19"/>
        <v>331054.717</v>
      </c>
      <c r="K20" s="194">
        <f t="shared" si="19"/>
        <v>276205.212</v>
      </c>
      <c r="L20" s="194">
        <f t="shared" si="19"/>
        <v>54849.50499999999</v>
      </c>
      <c r="M20" s="194">
        <f t="shared" si="19"/>
        <v>769985.94900000002</v>
      </c>
      <c r="N20" s="194">
        <f t="shared" si="19"/>
        <v>698885.05200000003</v>
      </c>
      <c r="O20" s="194">
        <f t="shared" si="19"/>
        <v>71100.896999999997</v>
      </c>
      <c r="P20" s="194">
        <f t="shared" si="19"/>
        <v>1328852.9849999999</v>
      </c>
      <c r="Q20" s="194">
        <f t="shared" si="19"/>
        <v>611099.40100000007</v>
      </c>
      <c r="R20" s="195">
        <f t="shared" si="19"/>
        <v>717753.58400000003</v>
      </c>
      <c r="S20" s="209" t="s">
        <v>140</v>
      </c>
      <c r="T20" s="208"/>
      <c r="U20" s="524" t="s">
        <v>142</v>
      </c>
      <c r="V20" s="525"/>
      <c r="W20" s="193">
        <f t="shared" ref="W20:AE20" si="20">((W9+W14)+W19)</f>
        <v>353709.80600000004</v>
      </c>
      <c r="X20" s="194">
        <f t="shared" si="20"/>
        <v>214380.18000000002</v>
      </c>
      <c r="Y20" s="194">
        <f t="shared" si="20"/>
        <v>139329.62600000002</v>
      </c>
      <c r="Z20" s="194">
        <f t="shared" si="20"/>
        <v>0</v>
      </c>
      <c r="AA20" s="194">
        <f t="shared" si="20"/>
        <v>0</v>
      </c>
      <c r="AB20" s="194">
        <f t="shared" si="20"/>
        <v>0</v>
      </c>
      <c r="AC20" s="194">
        <f t="shared" si="20"/>
        <v>346217.527</v>
      </c>
      <c r="AD20" s="194">
        <f t="shared" si="20"/>
        <v>656438.571</v>
      </c>
      <c r="AE20" s="194">
        <f t="shared" si="20"/>
        <v>-310221.04400000005</v>
      </c>
      <c r="AF20" s="194">
        <f t="shared" si="1"/>
        <v>3132213.0349999992</v>
      </c>
      <c r="AG20" s="194">
        <f t="shared" si="4"/>
        <v>2457756.2089999998</v>
      </c>
      <c r="AH20" s="195">
        <f t="shared" si="2"/>
        <v>674456.82600000012</v>
      </c>
      <c r="AI20" s="209" t="s">
        <v>140</v>
      </c>
      <c r="AJ20" s="208"/>
      <c r="AK20" s="524" t="s">
        <v>142</v>
      </c>
      <c r="AL20" s="525"/>
      <c r="AM20" s="77">
        <f t="shared" ref="AM20:BA20" si="21">((AM9+AM14)+AM19)</f>
        <v>398577.24199999997</v>
      </c>
      <c r="AN20" s="78">
        <f t="shared" si="21"/>
        <v>190856.33499999999</v>
      </c>
      <c r="AO20" s="78">
        <f t="shared" si="21"/>
        <v>275879.58399999997</v>
      </c>
      <c r="AP20" s="78">
        <f t="shared" si="21"/>
        <v>133887.63400000002</v>
      </c>
      <c r="AQ20" s="78">
        <f t="shared" si="21"/>
        <v>160767.99900000001</v>
      </c>
      <c r="AR20" s="78">
        <f t="shared" si="3"/>
        <v>248999.21899999998</v>
      </c>
      <c r="AS20" s="78">
        <f t="shared" si="21"/>
        <v>109585.122</v>
      </c>
      <c r="AT20" s="78">
        <f t="shared" si="21"/>
        <v>136631.63500000001</v>
      </c>
      <c r="AU20" s="78">
        <f t="shared" si="21"/>
        <v>221952.70599999998</v>
      </c>
      <c r="AV20" s="78">
        <f t="shared" si="21"/>
        <v>60082.156999999999</v>
      </c>
      <c r="AW20" s="78">
        <f t="shared" si="21"/>
        <v>5641.7359999999999</v>
      </c>
      <c r="AX20" s="79">
        <f>((AX9+AX14)+AX19)</f>
        <v>167512.285</v>
      </c>
      <c r="AY20" s="78">
        <f t="shared" si="21"/>
        <v>-298358.87900000002</v>
      </c>
      <c r="AZ20" s="78">
        <f t="shared" si="21"/>
        <v>0</v>
      </c>
      <c r="BA20" s="80">
        <f t="shared" si="21"/>
        <v>-130846.59400000007</v>
      </c>
      <c r="BB20" s="241" t="s">
        <v>140</v>
      </c>
    </row>
  </sheetData>
  <mergeCells count="44">
    <mergeCell ref="M4:O4"/>
    <mergeCell ref="A12:A13"/>
    <mergeCell ref="T12:T13"/>
    <mergeCell ref="B20:C20"/>
    <mergeCell ref="D4:F4"/>
    <mergeCell ref="G4:I4"/>
    <mergeCell ref="J4:L4"/>
    <mergeCell ref="B6:B9"/>
    <mergeCell ref="B15:B19"/>
    <mergeCell ref="C4:C5"/>
    <mergeCell ref="R3:S3"/>
    <mergeCell ref="AH3:AI3"/>
    <mergeCell ref="AT4:AT5"/>
    <mergeCell ref="AO4:AO5"/>
    <mergeCell ref="AF4:AH4"/>
    <mergeCell ref="P4:R4"/>
    <mergeCell ref="W4:Y4"/>
    <mergeCell ref="Z4:AB4"/>
    <mergeCell ref="AP4:AP5"/>
    <mergeCell ref="AL4:AL5"/>
    <mergeCell ref="AC4:AE4"/>
    <mergeCell ref="AI4:AI5"/>
    <mergeCell ref="S4:S5"/>
    <mergeCell ref="BA3:BB3"/>
    <mergeCell ref="BB4:BB5"/>
    <mergeCell ref="AK6:AK9"/>
    <mergeCell ref="U15:U19"/>
    <mergeCell ref="AY4:AY5"/>
    <mergeCell ref="AK15:AK19"/>
    <mergeCell ref="AU4:AU5"/>
    <mergeCell ref="BA4:BA5"/>
    <mergeCell ref="AZ4:AZ5"/>
    <mergeCell ref="AX4:AX5"/>
    <mergeCell ref="AW4:AW5"/>
    <mergeCell ref="AS4:AS5"/>
    <mergeCell ref="AV4:AV5"/>
    <mergeCell ref="AK20:AL20"/>
    <mergeCell ref="AR4:AR5"/>
    <mergeCell ref="U20:V20"/>
    <mergeCell ref="AM4:AN4"/>
    <mergeCell ref="U6:U9"/>
    <mergeCell ref="AQ4:AQ5"/>
    <mergeCell ref="V4:V5"/>
    <mergeCell ref="AJ12:AJ13"/>
  </mergeCells>
  <phoneticPr fontId="1"/>
  <printOptions horizontalCentered="1" gridLinesSet="0"/>
  <pageMargins left="0.11811023622047245" right="0.31496062992125984" top="0.74803149606299213" bottom="0.35433070866141736" header="0.31496062992125984" footer="0.31496062992125984"/>
  <pageSetup paperSize="9" scale="92" firstPageNumber="65" orientation="landscape" useFirstPageNumber="1" r:id="rId1"/>
  <headerFooter alignWithMargins="0"/>
  <colBreaks count="2" manualBreakCount="2">
    <brk id="19" max="19" man="1"/>
    <brk id="35" max="19" man="1"/>
  </colBreaks>
  <ignoredErrors>
    <ignoredError sqref="D10:E11 F10 U8:V8 AZ11 AR19:AR20 AK14:AX14 U12 AZ13 AK12 D13:E14 AX15 F11 AK9:AX9 BB9 AY14:AZ14 BB14 F6 I6 L6 O6 U6:AB6 AK6 AO6 AR6 AU6 F7 H7:I7 L7 O7 U7:AB7 AK7:AL7 AR7 AU7 AZ7 Y8:AB8 AK8:AL8 AR8 AU8 AW8 AZ8 I10 U10:AB10 AK10:AL10 AO10 AR10 AU10 BB10 I11 L11 O11 U11:AB11 AK11:AL11 AR11 F13:I13 AK13:AL13 AO13 AQ13:AU13 AW13:AX13 BB11 BB13 BB6 BB7 BB8 BA8 BA7 BA6 BA13 BA11 BA9:BA10 BA12 BA14 AW10:AX10 O13:S13 R11:S11 L10:O10 R7:S7 R6:S6 F9:S9 F14:S14 F8:S8 U13:AI13 AE11:AG11 AE10 AD8:AI8 AE7:AI7 AE6:AI6 U9:AI9 U14:AI14 AW6 R10:S10 L13 AZ9 AG10:AI10 AI11" formula="1"/>
    <ignoredError sqref="P11:P12 Q11:Q12 M18 P18 AC7:AD7 AC11:AC12 AC17:AD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12</vt:i4>
      </vt:variant>
    </vt:vector>
  </HeadingPairs>
  <TitlesOfParts>
    <vt:vector size="17" baseType="lpstr">
      <vt:lpstr>組織</vt:lpstr>
      <vt:lpstr>事業1</vt:lpstr>
      <vt:lpstr>事業2</vt:lpstr>
      <vt:lpstr>貸借</vt:lpstr>
      <vt:lpstr>損益</vt:lpstr>
      <vt:lpstr>事業1!Print_Area</vt:lpstr>
      <vt:lpstr>事業2!Print_Area</vt:lpstr>
      <vt:lpstr>組織!Print_Area</vt:lpstr>
      <vt:lpstr>損益!Print_Area</vt:lpstr>
      <vt:lpstr>貸借!Print_Area</vt:lpstr>
      <vt:lpstr>事業1!Print_Area_MI</vt:lpstr>
      <vt:lpstr>事業2!Print_Area_MI</vt:lpstr>
      <vt:lpstr>組織!Print_Area_MI</vt:lpstr>
      <vt:lpstr>損益!Print_Area_MI</vt:lpstr>
      <vt:lpstr>貸借!Print_Area_MI</vt:lpstr>
      <vt:lpstr>損益!Print_Titles_MI</vt:lpstr>
      <vt:lpstr>貸借!Print_Titles_MI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  修</dc:creator>
  <cp:lastModifiedBy>宮城県</cp:lastModifiedBy>
  <cp:lastPrinted>2025-02-03T05:34:31Z</cp:lastPrinted>
  <dcterms:created xsi:type="dcterms:W3CDTF">1997-12-23T23:51:37Z</dcterms:created>
  <dcterms:modified xsi:type="dcterms:W3CDTF">2025-02-03T05:35:18Z</dcterms:modified>
</cp:coreProperties>
</file>