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20" windowHeight="4095" tabRatio="806" activeTab="0"/>
  </bookViews>
  <sheets>
    <sheet name="総括表" sheetId="1" r:id="rId1"/>
    <sheet name="㈱塩釜" sheetId="2" r:id="rId2"/>
    <sheet name="機船" sheetId="3" r:id="rId3"/>
    <sheet name="気仙沼漁協" sheetId="4" r:id="rId4"/>
    <sheet name="石巻第１" sheetId="5" r:id="rId5"/>
    <sheet name="石巻第２" sheetId="6" r:id="rId6"/>
    <sheet name="女川" sheetId="7" r:id="rId7"/>
    <sheet name="南三陸" sheetId="8" r:id="rId8"/>
    <sheet name="閖上" sheetId="9" r:id="rId9"/>
    <sheet name="亘理" sheetId="10" r:id="rId10"/>
    <sheet name="七ヶ浜" sheetId="11" r:id="rId11"/>
    <sheet name="牡鹿" sheetId="12" r:id="rId12"/>
    <sheet name="塩釜合計" sheetId="13" r:id="rId13"/>
    <sheet name="石巻合計" sheetId="14" r:id="rId14"/>
  </sheets>
  <definedNames>
    <definedName name="_xlnm.Print_Area" localSheetId="12">'塩釜合計'!$A$1:$P$143</definedName>
    <definedName name="_xlnm.Print_Area" localSheetId="11">'牡鹿'!$A$1:$P$143</definedName>
    <definedName name="_xlnm.Print_Area" localSheetId="1">'㈱塩釜'!$A$1:$P$143</definedName>
    <definedName name="_xlnm.Print_Area" localSheetId="2">'機船'!$A$1:$P$143</definedName>
    <definedName name="_xlnm.Print_Area" localSheetId="3">'気仙沼漁協'!$A$1:$P$143</definedName>
    <definedName name="_xlnm.Print_Area" localSheetId="10">'七ヶ浜'!$A$1:$P$143</definedName>
    <definedName name="_xlnm.Print_Area" localSheetId="6">'女川'!$A$1:$P$143</definedName>
    <definedName name="_xlnm.Print_Area" localSheetId="13">'石巻合計'!$A$1:$P$143</definedName>
    <definedName name="_xlnm.Print_Area" localSheetId="5">'石巻第２'!$A$1:$P$143</definedName>
    <definedName name="_xlnm.Print_Area" localSheetId="0">'総括表'!$A$1:$P$143</definedName>
    <definedName name="_xlnm.Print_Area" localSheetId="7">'南三陸'!$A$1:$P$143</definedName>
    <definedName name="_xlnm.Print_Area" localSheetId="9">'亘理'!$A$1:$P$143</definedName>
    <definedName name="_xlnm.Print_Area" localSheetId="8">'閖上'!$A$1:$P$143</definedName>
  </definedNames>
  <calcPr fullCalcOnLoad="1"/>
</workbook>
</file>

<file path=xl/sharedStrings.xml><?xml version="1.0" encoding="utf-8"?>
<sst xmlns="http://schemas.openxmlformats.org/spreadsheetml/2006/main" count="4118" uniqueCount="223">
  <si>
    <t/>
  </si>
  <si>
    <t>㈱塩釜魚市場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</si>
  <si>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</si>
  <si>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</si>
  <si>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</si>
  <si>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</si>
  <si>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</si>
  <si>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</si>
  <si>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</si>
  <si>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</si>
  <si>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</si>
  <si>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</si>
  <si>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</si>
  <si>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</si>
  <si>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　　計</t>
  </si>
  <si>
    <t>まいわし</t>
  </si>
  <si>
    <t>数 量</t>
  </si>
  <si>
    <t>い</t>
  </si>
  <si>
    <t>金 額</t>
  </si>
  <si>
    <t>わ</t>
  </si>
  <si>
    <t>その他の</t>
  </si>
  <si>
    <t>し</t>
  </si>
  <si>
    <t>　　いわし</t>
  </si>
  <si>
    <t>類</t>
  </si>
  <si>
    <t>　小　計</t>
  </si>
  <si>
    <t xml:space="preserve">  か　つ　お</t>
  </si>
  <si>
    <t>ま　ぐ　ろ</t>
  </si>
  <si>
    <t>ま</t>
  </si>
  <si>
    <t>めじまぐろ</t>
  </si>
  <si>
    <t>ぐ</t>
  </si>
  <si>
    <t>め　ば　ち</t>
  </si>
  <si>
    <t>ろ</t>
  </si>
  <si>
    <t>びんちょう</t>
  </si>
  <si>
    <t>めかじき</t>
  </si>
  <si>
    <t>か</t>
  </si>
  <si>
    <t>じ</t>
  </si>
  <si>
    <t>き</t>
  </si>
  <si>
    <t>た　　ら</t>
  </si>
  <si>
    <t>た</t>
  </si>
  <si>
    <t>すけとう</t>
  </si>
  <si>
    <t>ら</t>
  </si>
  <si>
    <t>　あ　　　じ</t>
  </si>
  <si>
    <t>　ぶ　　　り</t>
  </si>
  <si>
    <t>　ぎんたら</t>
  </si>
  <si>
    <t>　ほ　っ　け</t>
  </si>
  <si>
    <t>　に　し　ん</t>
  </si>
  <si>
    <t>　さ　　　ば</t>
  </si>
  <si>
    <t>　さ　ん　ま</t>
  </si>
  <si>
    <t>　さけ・ます</t>
  </si>
  <si>
    <t>さ</t>
  </si>
  <si>
    <t>よしきり</t>
  </si>
  <si>
    <t>め</t>
  </si>
  <si>
    <t>　　　さめ</t>
  </si>
  <si>
    <t>もうかさめ</t>
  </si>
  <si>
    <t>ひ　ら　め</t>
  </si>
  <si>
    <t>油かれい</t>
  </si>
  <si>
    <t>れ</t>
  </si>
  <si>
    <t>からす</t>
  </si>
  <si>
    <t>　　がれい</t>
  </si>
  <si>
    <t>おひょう</t>
  </si>
  <si>
    <t>　　かれい</t>
  </si>
  <si>
    <t>　めろうど</t>
  </si>
  <si>
    <t>　めぬけ</t>
  </si>
  <si>
    <t>　あかうお</t>
  </si>
  <si>
    <t>その他の魚類</t>
  </si>
  <si>
    <t>魚　類　計</t>
  </si>
  <si>
    <t>水</t>
  </si>
  <si>
    <t>産</t>
  </si>
  <si>
    <t>動</t>
  </si>
  <si>
    <t>　なまこ</t>
  </si>
  <si>
    <t>物</t>
  </si>
  <si>
    <t>　か　き</t>
  </si>
  <si>
    <t>二枚貝類</t>
  </si>
  <si>
    <t>　海産動物</t>
  </si>
  <si>
    <t>こ　ん　ぶ</t>
  </si>
  <si>
    <t>海</t>
  </si>
  <si>
    <t>わ　か　め</t>
  </si>
  <si>
    <t>草</t>
  </si>
  <si>
    <t>　　海草類</t>
  </si>
  <si>
    <t>の り</t>
  </si>
  <si>
    <t>塩釜地区機船漁業協同組合</t>
  </si>
  <si>
    <t>気仙沼漁業協同組合</t>
  </si>
  <si>
    <t>石巻魚市場㈱（石巻第１）</t>
  </si>
  <si>
    <t xml:space="preserve"> </t>
  </si>
  <si>
    <t>石巻第２（渡波）</t>
  </si>
  <si>
    <t>牡鹿漁業協同組合</t>
  </si>
  <si>
    <t>総括表</t>
  </si>
  <si>
    <t>塩釜合計（㈱塩釜魚市場＋塩釜地区機船漁協）</t>
  </si>
  <si>
    <t>石巻第１＋石巻第２</t>
  </si>
  <si>
    <t>１月</t>
  </si>
  <si>
    <t>（単位：トン，千円）</t>
  </si>
  <si>
    <t>石巻第１＋石巻第２</t>
  </si>
  <si>
    <t>のり取扱量 単位：千枚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</si>
  <si>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</si>
  <si>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</si>
  <si>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</si>
  <si>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</si>
  <si>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</si>
  <si>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</si>
  <si>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</si>
  <si>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</si>
  <si>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</si>
  <si>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</si>
  <si>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</si>
  <si>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８．魚種別・魚市場別・月別水揚高</t>
  </si>
  <si>
    <t>株式会社女川魚市場</t>
  </si>
  <si>
    <t>合    計</t>
  </si>
  <si>
    <t>　小  　計</t>
  </si>
  <si>
    <t>き  は  だ</t>
  </si>
  <si>
    <t>　　ま  ぐ  ろ</t>
  </si>
  <si>
    <t>　　か  じ  き</t>
  </si>
  <si>
    <t>　　　た  ら</t>
  </si>
  <si>
    <t>ま だ い</t>
  </si>
  <si>
    <t>　　　た  い</t>
  </si>
  <si>
    <t>　小　  計</t>
  </si>
  <si>
    <t>油  さ  め</t>
  </si>
  <si>
    <t>　　　さ  め</t>
  </si>
  <si>
    <t>　小  　計</t>
  </si>
  <si>
    <t>　あ な ご</t>
  </si>
  <si>
    <t>　め ぬ け</t>
  </si>
  <si>
    <t>　き ち じ</t>
  </si>
  <si>
    <t>　す ず き</t>
  </si>
  <si>
    <t>　く   じ   ら</t>
  </si>
  <si>
    <t>　た    　こ</t>
  </si>
  <si>
    <t>　い  か  類</t>
  </si>
  <si>
    <t>　え  び  類</t>
  </si>
  <si>
    <t>　か  に  類</t>
  </si>
  <si>
    <t>　い  さ  だ</t>
  </si>
  <si>
    <t>　な  ま  こ</t>
  </si>
  <si>
    <t>　か     　き</t>
  </si>
  <si>
    <t>　巻  貝  類</t>
  </si>
  <si>
    <t>合　  　計</t>
  </si>
  <si>
    <t>ま  だ  い</t>
  </si>
  <si>
    <t>株式会社女川魚市場</t>
  </si>
  <si>
    <t>　く  じ  ら</t>
  </si>
  <si>
    <t>　た　    こ</t>
  </si>
  <si>
    <t>　か  に 類</t>
  </si>
  <si>
    <t>　か    　き</t>
  </si>
  <si>
    <t>　小  　計</t>
  </si>
  <si>
    <t>　き  ち じ</t>
  </si>
  <si>
    <t>　す ず  き</t>
  </si>
  <si>
    <t>　た  　こ</t>
  </si>
  <si>
    <t>　か　  き</t>
  </si>
  <si>
    <t>合  　　計</t>
  </si>
  <si>
    <t>　か　    き</t>
  </si>
  <si>
    <t>　小　  計</t>
  </si>
  <si>
    <t>（単位：トン，千円）</t>
  </si>
  <si>
    <t>　め ぬけ</t>
  </si>
  <si>
    <t>　い か 類</t>
  </si>
  <si>
    <t>　え び 類</t>
  </si>
  <si>
    <t>　か に 類</t>
  </si>
  <si>
    <t>　　　た   い</t>
  </si>
  <si>
    <t>　あ なご</t>
  </si>
  <si>
    <t>　　い わ し</t>
  </si>
  <si>
    <t>1月</t>
  </si>
  <si>
    <t>　　か れ い</t>
  </si>
  <si>
    <t>　小    　計</t>
  </si>
  <si>
    <t>　い か類</t>
  </si>
  <si>
    <t>　え び類</t>
  </si>
  <si>
    <t>　い さ だ</t>
  </si>
  <si>
    <t>　な ま こ</t>
  </si>
  <si>
    <t>合　　  計</t>
  </si>
  <si>
    <t>　　か じ き</t>
  </si>
  <si>
    <t>か らす</t>
  </si>
  <si>
    <t>　　が れ い</t>
  </si>
  <si>
    <t>あかうお</t>
  </si>
  <si>
    <t>す ず き</t>
  </si>
  <si>
    <t>く  じ  ら</t>
  </si>
  <si>
    <t xml:space="preserve">た　  こ </t>
  </si>
  <si>
    <t>い か 類</t>
  </si>
  <si>
    <t xml:space="preserve">え び 類 </t>
  </si>
  <si>
    <t>か に 類</t>
  </si>
  <si>
    <t>い さ だ</t>
  </si>
  <si>
    <t>な ま こ</t>
  </si>
  <si>
    <t>か  　き</t>
  </si>
  <si>
    <t>二枚貝類</t>
  </si>
  <si>
    <t>巻 貝 類</t>
  </si>
  <si>
    <t>小　  計</t>
  </si>
  <si>
    <t>　　海 草 類</t>
  </si>
  <si>
    <t>小　  計</t>
  </si>
  <si>
    <t>い</t>
  </si>
  <si>
    <t>１月</t>
  </si>
  <si>
    <t>か ら す</t>
  </si>
  <si>
    <t>　小　 計</t>
  </si>
  <si>
    <t>あ な ご</t>
  </si>
  <si>
    <t>めろうど</t>
  </si>
  <si>
    <t>め ぬ け</t>
  </si>
  <si>
    <t>き ち じ</t>
  </si>
  <si>
    <t>た    　こ</t>
  </si>
  <si>
    <t>え び 類</t>
  </si>
  <si>
    <t>い  さ  だ</t>
  </si>
  <si>
    <t>な  ま  こ</t>
  </si>
  <si>
    <t>か    　き</t>
  </si>
  <si>
    <t>巻  貝  類</t>
  </si>
  <si>
    <t>小  　計</t>
  </si>
  <si>
    <t>小  　計</t>
  </si>
  <si>
    <t>７．魚種別・月別水揚高  （総括表）</t>
  </si>
  <si>
    <t>（単位：トン，千円）</t>
  </si>
  <si>
    <t>か　つ　お</t>
  </si>
  <si>
    <t>あ　　　じ</t>
  </si>
  <si>
    <t>ぶ　　　り</t>
  </si>
  <si>
    <t>ぎんたら</t>
  </si>
  <si>
    <t>ほ　っ　け</t>
  </si>
  <si>
    <t>に　し　ん</t>
  </si>
  <si>
    <t>さ　　　ば</t>
  </si>
  <si>
    <t>さ　ん　ま</t>
  </si>
  <si>
    <t>さけ・ます</t>
  </si>
  <si>
    <t>た</t>
  </si>
  <si>
    <t>小  　計</t>
  </si>
  <si>
    <t>ま　ぐ　ろ</t>
  </si>
  <si>
    <t>か  ら  す</t>
  </si>
  <si>
    <t>　　が  れ  い</t>
  </si>
  <si>
    <t>　　か  れ  い</t>
  </si>
  <si>
    <t>き  ち  じ</t>
  </si>
  <si>
    <t>　　海  草  類</t>
  </si>
  <si>
    <t>数 量</t>
  </si>
  <si>
    <t>　さけ・ます</t>
  </si>
  <si>
    <t>宮城県漁業協同組合　志津川支所</t>
  </si>
  <si>
    <t>宮城県漁業協同組合　七ヶ浜支所</t>
  </si>
  <si>
    <t>石巻第二</t>
  </si>
  <si>
    <t>合　  　計</t>
  </si>
  <si>
    <t>宮城県漁業協同組合　仙南支所（閖上）</t>
  </si>
  <si>
    <t>宮城県漁業協同組合　仙南支所（亘理）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</si>
</sst>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000;\-#,##0.0000"/>
    <numFmt numFmtId="178" formatCode="#,##0.0000;[Red]\-#,##0.0000"/>
    <numFmt numFmtId="179" formatCode="#,##0.00000;\-#,##0.00000"/>
    <numFmt numFmtId="180" formatCode="0.000_);[Red]\(0.000\)"/>
    <numFmt numFmtId="181" formatCode="#,##0.0;[Red]\-#,##0.0"/>
    <numFmt numFmtId="182" formatCode="#,##0.000;[Red]\-#,##0.000"/>
    <numFmt numFmtId="183" formatCode="#,##0.00000;[Red]\-#,##0.00000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 * #,##0.0000_ ;_ * \-#,##0.0000_ ;_ * &quot;-&quot;_ ;_ @_ "/>
    <numFmt numFmtId="188" formatCode="_ * #,##0.00000_ ;_ * \-#,##0.00000_ ;_ * &quot;-&quot;_ ;_ @_ "/>
    <numFmt numFmtId="189" formatCode="#,##0.000000;\-#,##0.000000"/>
    <numFmt numFmtId="190" formatCode="0.0000_);[Red]\(0.0000\)"/>
    <numFmt numFmtId="191" formatCode="#,##0.0000_);[Red]\(#,##0.0000\)"/>
    <numFmt numFmtId="192" formatCode="#,##0.0000_ ;[Red]\-#,##0.0000\ "/>
    <numFmt numFmtId="193" formatCode="#,##0.000_);[Red]\(#,##0.000\)"/>
    <numFmt numFmtId="194" formatCode="#,##0_);[Red]\(#,##0\)"/>
    <numFmt numFmtId="195" formatCode="#,##0_ "/>
    <numFmt numFmtId="196" formatCode="0_);[Red]\(0\)"/>
    <numFmt numFmtId="197" formatCode="0.00_ "/>
    <numFmt numFmtId="198" formatCode="0.0_ "/>
    <numFmt numFmtId="199" formatCode="0.000_ "/>
    <numFmt numFmtId="200" formatCode="0.0000_ "/>
    <numFmt numFmtId="201" formatCode="0.00000_ "/>
    <numFmt numFmtId="202" formatCode="0.000000_ "/>
    <numFmt numFmtId="203" formatCode="0.0000000_ "/>
    <numFmt numFmtId="204" formatCode="#,##0_);\(#,##0\)"/>
    <numFmt numFmtId="205" formatCode="_ * #,##0.000_ ;_ * \-#,##0.000_ ;_ * &quot;-&quot;???_ ;_ @_ "/>
    <numFmt numFmtId="206" formatCode="_ * #,##0.0000_ ;_ * \-#,##0.0000_ ;_ * &quot;-&quot;????_ ;_ @_ "/>
    <numFmt numFmtId="207" formatCode="_ * #,##0.00000_ ;_ * \-#,##0.00000_ ;_ * &quot;-&quot;?????_ ;_ @_ "/>
    <numFmt numFmtId="208" formatCode="_ * #,##0.00000000_ ;_ * \-#,##0.00000000_ ;_ * &quot;-&quot;????????_ ;_ @_ "/>
    <numFmt numFmtId="209" formatCode="_ * #,##0.000000_ ;_ * \-#,##0.000000_ ;_ * &quot;-&quot;??????_ ;_ @_ "/>
    <numFmt numFmtId="210" formatCode="#,##0.000_ "/>
  </numFmts>
  <fonts count="4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26"/>
      <name val="ＭＳ 明朝"/>
      <family val="1"/>
    </font>
    <font>
      <sz val="2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/>
      <bottom style="hair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/>
      <bottom style="hair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>
        <color indexed="8"/>
      </top>
      <bottom style="hair"/>
    </border>
    <border>
      <left style="thin"/>
      <right style="medium"/>
      <top style="hair"/>
      <bottom style="hair"/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/>
      <bottom style="hair"/>
    </border>
    <border>
      <left style="thin"/>
      <right style="medium"/>
      <top style="thin"/>
      <bottom style="hair"/>
    </border>
    <border>
      <left style="thin">
        <color indexed="8"/>
      </left>
      <right style="thin"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/>
      <top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/>
      <bottom style="medium">
        <color indexed="8"/>
      </bottom>
    </border>
    <border>
      <left style="thin"/>
      <right style="thin"/>
      <top style="hair">
        <color indexed="8"/>
      </top>
      <bottom style="medium"/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/>
      <bottom style="hair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41" fontId="1" fillId="0" borderId="10" xfId="48" applyNumberFormat="1" applyFont="1" applyBorder="1" applyAlignment="1" applyProtection="1">
      <alignment/>
      <protection/>
    </xf>
    <xf numFmtId="41" fontId="1" fillId="0" borderId="11" xfId="48" applyNumberFormat="1" applyFont="1" applyBorder="1" applyAlignment="1" applyProtection="1">
      <alignment/>
      <protection/>
    </xf>
    <xf numFmtId="41" fontId="1" fillId="0" borderId="12" xfId="48" applyNumberFormat="1" applyFont="1" applyBorder="1" applyAlignment="1" applyProtection="1">
      <alignment/>
      <protection/>
    </xf>
    <xf numFmtId="41" fontId="1" fillId="0" borderId="12" xfId="48" applyNumberFormat="1" applyFont="1" applyFill="1" applyBorder="1" applyAlignment="1" applyProtection="1">
      <alignment/>
      <protection/>
    </xf>
    <xf numFmtId="41" fontId="1" fillId="0" borderId="10" xfId="48" applyNumberFormat="1" applyFont="1" applyFill="1" applyBorder="1" applyAlignment="1" applyProtection="1">
      <alignment/>
      <protection/>
    </xf>
    <xf numFmtId="41" fontId="1" fillId="0" borderId="13" xfId="48" applyNumberFormat="1" applyFont="1" applyFill="1" applyBorder="1" applyAlignment="1" applyProtection="1">
      <alignment/>
      <protection/>
    </xf>
    <xf numFmtId="41" fontId="1" fillId="0" borderId="14" xfId="48" applyNumberFormat="1" applyFont="1" applyFill="1" applyBorder="1" applyAlignment="1" applyProtection="1">
      <alignment/>
      <protection/>
    </xf>
    <xf numFmtId="41" fontId="1" fillId="0" borderId="15" xfId="48" applyNumberFormat="1" applyFont="1" applyBorder="1" applyAlignment="1" applyProtection="1">
      <alignment/>
      <protection/>
    </xf>
    <xf numFmtId="41" fontId="1" fillId="0" borderId="16" xfId="48" applyNumberFormat="1" applyFont="1" applyBorder="1" applyAlignment="1" applyProtection="1">
      <alignment/>
      <protection/>
    </xf>
    <xf numFmtId="41" fontId="1" fillId="0" borderId="14" xfId="48" applyNumberFormat="1" applyFont="1" applyBorder="1" applyAlignment="1" applyProtection="1">
      <alignment/>
      <protection/>
    </xf>
    <xf numFmtId="41" fontId="1" fillId="0" borderId="0" xfId="48" applyNumberFormat="1" applyFont="1" applyAlignment="1" applyProtection="1">
      <alignment/>
      <protection/>
    </xf>
    <xf numFmtId="41" fontId="1" fillId="0" borderId="17" xfId="48" applyNumberFormat="1" applyFont="1" applyBorder="1" applyAlignment="1" applyProtection="1">
      <alignment/>
      <protection/>
    </xf>
    <xf numFmtId="41" fontId="1" fillId="0" borderId="18" xfId="48" applyNumberFormat="1" applyFont="1" applyBorder="1" applyAlignment="1" applyProtection="1">
      <alignment/>
      <protection/>
    </xf>
    <xf numFmtId="41" fontId="1" fillId="0" borderId="18" xfId="48" applyNumberFormat="1" applyFont="1" applyFill="1" applyBorder="1" applyAlignment="1" applyProtection="1">
      <alignment/>
      <protection/>
    </xf>
    <xf numFmtId="41" fontId="1" fillId="0" borderId="15" xfId="48" applyNumberFormat="1" applyFont="1" applyFill="1" applyBorder="1" applyAlignment="1" applyProtection="1">
      <alignment/>
      <protection/>
    </xf>
    <xf numFmtId="41" fontId="1" fillId="0" borderId="13" xfId="48" applyNumberFormat="1" applyFont="1" applyBorder="1" applyAlignment="1" applyProtection="1">
      <alignment/>
      <protection/>
    </xf>
    <xf numFmtId="41" fontId="1" fillId="0" borderId="19" xfId="48" applyNumberFormat="1" applyFont="1" applyBorder="1" applyAlignment="1" applyProtection="1">
      <alignment/>
      <protection/>
    </xf>
    <xf numFmtId="41" fontId="1" fillId="0" borderId="20" xfId="48" applyNumberFormat="1" applyFont="1" applyBorder="1" applyAlignment="1" applyProtection="1">
      <alignment/>
      <protection/>
    </xf>
    <xf numFmtId="41" fontId="1" fillId="0" borderId="21" xfId="48" applyNumberFormat="1" applyFont="1" applyBorder="1" applyAlignment="1" applyProtection="1">
      <alignment/>
      <protection/>
    </xf>
    <xf numFmtId="41" fontId="1" fillId="0" borderId="22" xfId="48" applyNumberFormat="1" applyFont="1" applyBorder="1" applyAlignment="1" applyProtection="1">
      <alignment/>
      <protection/>
    </xf>
    <xf numFmtId="204" fontId="1" fillId="0" borderId="10" xfId="48" applyNumberFormat="1" applyFont="1" applyBorder="1" applyAlignment="1" applyProtection="1">
      <alignment/>
      <protection/>
    </xf>
    <xf numFmtId="204" fontId="1" fillId="0" borderId="15" xfId="48" applyNumberFormat="1" applyFont="1" applyBorder="1" applyAlignment="1" applyProtection="1">
      <alignment/>
      <protection/>
    </xf>
    <xf numFmtId="204" fontId="1" fillId="0" borderId="15" xfId="48" applyNumberFormat="1" applyFont="1" applyFill="1" applyBorder="1" applyAlignment="1" applyProtection="1">
      <alignment/>
      <protection/>
    </xf>
    <xf numFmtId="41" fontId="1" fillId="0" borderId="0" xfId="48" applyNumberFormat="1" applyFont="1" applyFill="1" applyBorder="1" applyAlignment="1" applyProtection="1">
      <alignment/>
      <protection/>
    </xf>
    <xf numFmtId="41" fontId="1" fillId="0" borderId="23" xfId="48" applyNumberFormat="1" applyFont="1" applyBorder="1" applyAlignment="1" applyProtection="1">
      <alignment/>
      <protection/>
    </xf>
    <xf numFmtId="41" fontId="1" fillId="0" borderId="24" xfId="48" applyNumberFormat="1" applyFont="1" applyBorder="1" applyAlignment="1" applyProtection="1">
      <alignment/>
      <protection/>
    </xf>
    <xf numFmtId="41" fontId="1" fillId="0" borderId="25" xfId="48" applyNumberFormat="1" applyFont="1" applyBorder="1" applyAlignment="1" applyProtection="1">
      <alignment/>
      <protection/>
    </xf>
    <xf numFmtId="41" fontId="1" fillId="0" borderId="24" xfId="48" applyNumberFormat="1" applyFont="1" applyFill="1" applyBorder="1" applyAlignment="1" applyProtection="1">
      <alignment/>
      <protection/>
    </xf>
    <xf numFmtId="41" fontId="1" fillId="0" borderId="21" xfId="48" applyNumberFormat="1" applyFont="1" applyFill="1" applyBorder="1" applyAlignment="1" applyProtection="1">
      <alignment/>
      <protection/>
    </xf>
    <xf numFmtId="41" fontId="1" fillId="0" borderId="26" xfId="48" applyNumberFormat="1" applyFont="1" applyFill="1" applyBorder="1" applyAlignment="1" applyProtection="1">
      <alignment/>
      <protection/>
    </xf>
    <xf numFmtId="41" fontId="1" fillId="0" borderId="27" xfId="48" applyNumberFormat="1" applyFont="1" applyFill="1" applyBorder="1" applyAlignment="1" applyProtection="1">
      <alignment/>
      <protection/>
    </xf>
    <xf numFmtId="41" fontId="1" fillId="0" borderId="0" xfId="48" applyNumberFormat="1" applyFont="1" applyAlignment="1">
      <alignment vertical="center" shrinkToFit="1"/>
    </xf>
    <xf numFmtId="41" fontId="1" fillId="0" borderId="28" xfId="48" applyNumberFormat="1" applyFont="1" applyBorder="1" applyAlignment="1">
      <alignment vertical="center" shrinkToFit="1"/>
    </xf>
    <xf numFmtId="41" fontId="1" fillId="0" borderId="11" xfId="48" applyNumberFormat="1" applyFont="1" applyFill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/>
      <protection locked="0"/>
    </xf>
    <xf numFmtId="41" fontId="1" fillId="0" borderId="0" xfId="48" applyNumberFormat="1" applyFont="1" applyAlignment="1" applyProtection="1">
      <alignment horizontal="left"/>
      <protection/>
    </xf>
    <xf numFmtId="41" fontId="3" fillId="0" borderId="0" xfId="48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1" fontId="1" fillId="0" borderId="17" xfId="48" applyNumberFormat="1" applyFont="1" applyBorder="1" applyAlignment="1" applyProtection="1">
      <alignment horizontal="left"/>
      <protection/>
    </xf>
    <xf numFmtId="41" fontId="1" fillId="0" borderId="29" xfId="48" applyNumberFormat="1" applyFont="1" applyBorder="1" applyAlignment="1" applyProtection="1">
      <alignment horizontal="center"/>
      <protection/>
    </xf>
    <xf numFmtId="41" fontId="1" fillId="0" borderId="30" xfId="48" applyNumberFormat="1" applyFont="1" applyBorder="1" applyAlignment="1" applyProtection="1">
      <alignment horizontal="center"/>
      <protection/>
    </xf>
    <xf numFmtId="41" fontId="1" fillId="0" borderId="31" xfId="48" applyNumberFormat="1" applyFont="1" applyBorder="1" applyAlignment="1" applyProtection="1">
      <alignment horizontal="center"/>
      <protection/>
    </xf>
    <xf numFmtId="41" fontId="1" fillId="0" borderId="32" xfId="48" applyNumberFormat="1" applyFont="1" applyBorder="1" applyAlignment="1" applyProtection="1">
      <alignment horizontal="center"/>
      <protection/>
    </xf>
    <xf numFmtId="41" fontId="1" fillId="0" borderId="33" xfId="48" applyNumberFormat="1" applyFont="1" applyBorder="1" applyAlignment="1" applyProtection="1">
      <alignment horizontal="left"/>
      <protection/>
    </xf>
    <xf numFmtId="41" fontId="1" fillId="0" borderId="33" xfId="48" applyNumberFormat="1" applyFont="1" applyBorder="1" applyAlignment="1" applyProtection="1">
      <alignment horizontal="center"/>
      <protection/>
    </xf>
    <xf numFmtId="41" fontId="1" fillId="0" borderId="23" xfId="48" applyNumberFormat="1" applyFont="1" applyBorder="1" applyAlignment="1" applyProtection="1">
      <alignment horizontal="center"/>
      <protection/>
    </xf>
    <xf numFmtId="41" fontId="1" fillId="0" borderId="12" xfId="48" applyNumberFormat="1" applyFont="1" applyBorder="1" applyAlignment="1" applyProtection="1">
      <alignment horizontal="center"/>
      <protection/>
    </xf>
    <xf numFmtId="41" fontId="1" fillId="0" borderId="11" xfId="48" applyNumberFormat="1" applyFont="1" applyBorder="1" applyAlignment="1" applyProtection="1">
      <alignment horizontal="center"/>
      <protection/>
    </xf>
    <xf numFmtId="41" fontId="1" fillId="0" borderId="29" xfId="48" applyNumberFormat="1" applyFont="1" applyBorder="1" applyAlignment="1" applyProtection="1">
      <alignment/>
      <protection/>
    </xf>
    <xf numFmtId="41" fontId="1" fillId="0" borderId="33" xfId="48" applyNumberFormat="1" applyFont="1" applyBorder="1" applyAlignment="1" applyProtection="1">
      <alignment/>
      <protection/>
    </xf>
    <xf numFmtId="41" fontId="1" fillId="0" borderId="34" xfId="48" applyNumberFormat="1" applyFont="1" applyBorder="1" applyAlignment="1" applyProtection="1">
      <alignment horizontal="left"/>
      <protection/>
    </xf>
    <xf numFmtId="41" fontId="1" fillId="0" borderId="13" xfId="48" applyNumberFormat="1" applyFont="1" applyBorder="1" applyAlignment="1" applyProtection="1">
      <alignment horizontal="center"/>
      <protection/>
    </xf>
    <xf numFmtId="41" fontId="1" fillId="0" borderId="30" xfId="48" applyNumberFormat="1" applyFont="1" applyBorder="1" applyAlignment="1" applyProtection="1">
      <alignment/>
      <protection/>
    </xf>
    <xf numFmtId="41" fontId="1" fillId="0" borderId="10" xfId="48" applyNumberFormat="1" applyFont="1" applyBorder="1" applyAlignment="1" applyProtection="1">
      <alignment horizontal="center"/>
      <protection/>
    </xf>
    <xf numFmtId="41" fontId="1" fillId="0" borderId="12" xfId="48" applyNumberFormat="1" applyFont="1" applyBorder="1" applyAlignment="1" applyProtection="1">
      <alignment horizontal="left"/>
      <protection/>
    </xf>
    <xf numFmtId="41" fontId="4" fillId="0" borderId="12" xfId="48" applyNumberFormat="1" applyFont="1" applyBorder="1" applyAlignment="1" applyProtection="1">
      <alignment horizontal="center"/>
      <protection/>
    </xf>
    <xf numFmtId="41" fontId="1" fillId="0" borderId="33" xfId="48" applyNumberFormat="1" applyFont="1" applyFill="1" applyBorder="1" applyAlignment="1" applyProtection="1">
      <alignment/>
      <protection/>
    </xf>
    <xf numFmtId="41" fontId="1" fillId="0" borderId="0" xfId="48" applyNumberFormat="1" applyFont="1" applyFill="1" applyAlignment="1" applyProtection="1">
      <alignment horizontal="left"/>
      <protection/>
    </xf>
    <xf numFmtId="41" fontId="1" fillId="0" borderId="12" xfId="48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41" fontId="4" fillId="0" borderId="0" xfId="48" applyNumberFormat="1" applyFont="1" applyFill="1" applyAlignment="1" applyProtection="1">
      <alignment horizontal="left"/>
      <protection/>
    </xf>
    <xf numFmtId="41" fontId="1" fillId="0" borderId="10" xfId="48" applyNumberFormat="1" applyFont="1" applyFill="1" applyBorder="1" applyAlignment="1" applyProtection="1">
      <alignment horizontal="center"/>
      <protection/>
    </xf>
    <xf numFmtId="41" fontId="1" fillId="0" borderId="34" xfId="48" applyNumberFormat="1" applyFont="1" applyFill="1" applyBorder="1" applyAlignment="1" applyProtection="1">
      <alignment/>
      <protection/>
    </xf>
    <xf numFmtId="41" fontId="1" fillId="0" borderId="17" xfId="48" applyNumberFormat="1" applyFont="1" applyFill="1" applyBorder="1" applyAlignment="1" applyProtection="1">
      <alignment/>
      <protection/>
    </xf>
    <xf numFmtId="41" fontId="1" fillId="0" borderId="13" xfId="48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1" fontId="1" fillId="0" borderId="0" xfId="48" applyNumberFormat="1" applyFont="1" applyBorder="1" applyAlignment="1" applyProtection="1">
      <alignment/>
      <protection/>
    </xf>
    <xf numFmtId="41" fontId="1" fillId="0" borderId="29" xfId="48" applyNumberFormat="1" applyFont="1" applyBorder="1" applyAlignment="1" applyProtection="1">
      <alignment horizontal="left"/>
      <protection/>
    </xf>
    <xf numFmtId="41" fontId="1" fillId="0" borderId="0" xfId="48" applyNumberFormat="1" applyFont="1" applyFill="1" applyAlignment="1" applyProtection="1">
      <alignment/>
      <protection/>
    </xf>
    <xf numFmtId="38" fontId="3" fillId="0" borderId="0" xfId="48" applyFont="1" applyAlignment="1" applyProtection="1">
      <alignment/>
      <protection/>
    </xf>
    <xf numFmtId="38" fontId="3" fillId="0" borderId="0" xfId="48" applyFont="1" applyFill="1" applyAlignment="1" applyProtection="1">
      <alignment/>
      <protection/>
    </xf>
    <xf numFmtId="41" fontId="1" fillId="0" borderId="35" xfId="48" applyNumberFormat="1" applyFont="1" applyBorder="1" applyAlignment="1" applyProtection="1">
      <alignment/>
      <protection/>
    </xf>
    <xf numFmtId="206" fontId="1" fillId="0" borderId="0" xfId="48" applyNumberFormat="1" applyFont="1" applyAlignment="1" applyProtection="1">
      <alignment/>
      <protection/>
    </xf>
    <xf numFmtId="187" fontId="3" fillId="0" borderId="0" xfId="0" applyNumberFormat="1" applyFont="1" applyAlignment="1" applyProtection="1">
      <alignment/>
      <protection/>
    </xf>
    <xf numFmtId="187" fontId="3" fillId="0" borderId="0" xfId="0" applyNumberFormat="1" applyFont="1" applyFill="1" applyAlignment="1" applyProtection="1">
      <alignment/>
      <protection/>
    </xf>
    <xf numFmtId="188" fontId="3" fillId="0" borderId="0" xfId="0" applyNumberFormat="1" applyFont="1" applyAlignment="1" applyProtection="1">
      <alignment/>
      <protection/>
    </xf>
    <xf numFmtId="188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41" fontId="1" fillId="0" borderId="31" xfId="48" applyNumberFormat="1" applyFont="1" applyFill="1" applyBorder="1" applyAlignment="1" applyProtection="1">
      <alignment horizontal="center"/>
      <protection/>
    </xf>
    <xf numFmtId="41" fontId="1" fillId="0" borderId="22" xfId="48" applyNumberFormat="1" applyFont="1" applyFill="1" applyBorder="1" applyAlignment="1" applyProtection="1">
      <alignment/>
      <protection/>
    </xf>
    <xf numFmtId="204" fontId="1" fillId="0" borderId="10" xfId="48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41" fontId="1" fillId="0" borderId="23" xfId="48" applyNumberFormat="1" applyFont="1" applyFill="1" applyBorder="1" applyAlignment="1" applyProtection="1">
      <alignment/>
      <protection/>
    </xf>
    <xf numFmtId="204" fontId="1" fillId="0" borderId="24" xfId="48" applyNumberFormat="1" applyFont="1" applyFill="1" applyBorder="1" applyAlignment="1" applyProtection="1">
      <alignment/>
      <protection/>
    </xf>
    <xf numFmtId="41" fontId="1" fillId="0" borderId="36" xfId="48" applyNumberFormat="1" applyFont="1" applyFill="1" applyBorder="1" applyAlignment="1" applyProtection="1">
      <alignment/>
      <protection/>
    </xf>
    <xf numFmtId="41" fontId="1" fillId="0" borderId="33" xfId="48" applyNumberFormat="1" applyFont="1" applyFill="1" applyBorder="1" applyAlignment="1" applyProtection="1">
      <alignment horizontal="left"/>
      <protection/>
    </xf>
    <xf numFmtId="41" fontId="1" fillId="0" borderId="29" xfId="48" applyNumberFormat="1" applyFont="1" applyFill="1" applyBorder="1" applyAlignment="1" applyProtection="1">
      <alignment/>
      <protection/>
    </xf>
    <xf numFmtId="41" fontId="1" fillId="0" borderId="11" xfId="48" applyNumberFormat="1" applyFont="1" applyFill="1" applyBorder="1" applyAlignment="1" applyProtection="1">
      <alignment horizontal="center"/>
      <protection/>
    </xf>
    <xf numFmtId="41" fontId="1" fillId="0" borderId="16" xfId="48" applyNumberFormat="1" applyFont="1" applyFill="1" applyBorder="1" applyAlignment="1" applyProtection="1">
      <alignment/>
      <protection/>
    </xf>
    <xf numFmtId="41" fontId="1" fillId="0" borderId="12" xfId="48" applyNumberFormat="1" applyFont="1" applyFill="1" applyBorder="1" applyAlignment="1" applyProtection="1">
      <alignment horizontal="left"/>
      <protection/>
    </xf>
    <xf numFmtId="41" fontId="4" fillId="0" borderId="12" xfId="48" applyNumberFormat="1" applyFont="1" applyFill="1" applyBorder="1" applyAlignment="1" applyProtection="1">
      <alignment horizontal="center"/>
      <protection/>
    </xf>
    <xf numFmtId="41" fontId="1" fillId="0" borderId="33" xfId="48" applyNumberFormat="1" applyFont="1" applyFill="1" applyBorder="1" applyAlignment="1" applyProtection="1">
      <alignment horizontal="center"/>
      <protection/>
    </xf>
    <xf numFmtId="41" fontId="1" fillId="0" borderId="29" xfId="48" applyNumberFormat="1" applyFont="1" applyFill="1" applyBorder="1" applyAlignment="1" applyProtection="1">
      <alignment horizontal="center"/>
      <protection/>
    </xf>
    <xf numFmtId="41" fontId="1" fillId="0" borderId="20" xfId="48" applyNumberFormat="1" applyFont="1" applyFill="1" applyBorder="1" applyAlignment="1" applyProtection="1">
      <alignment/>
      <protection/>
    </xf>
    <xf numFmtId="206" fontId="1" fillId="0" borderId="0" xfId="48" applyNumberFormat="1" applyFont="1" applyFill="1" applyAlignment="1" applyProtection="1">
      <alignment/>
      <protection/>
    </xf>
    <xf numFmtId="41" fontId="8" fillId="0" borderId="26" xfId="48" applyNumberFormat="1" applyFont="1" applyBorder="1" applyAlignment="1" applyProtection="1">
      <alignment/>
      <protection locked="0"/>
    </xf>
    <xf numFmtId="41" fontId="8" fillId="0" borderId="36" xfId="48" applyNumberFormat="1" applyFont="1" applyBorder="1" applyAlignment="1" applyProtection="1">
      <alignment/>
      <protection locked="0"/>
    </xf>
    <xf numFmtId="41" fontId="8" fillId="0" borderId="27" xfId="48" applyNumberFormat="1" applyFont="1" applyBorder="1" applyAlignment="1" applyProtection="1">
      <alignment/>
      <protection locked="0"/>
    </xf>
    <xf numFmtId="41" fontId="8" fillId="0" borderId="37" xfId="48" applyNumberFormat="1" applyFont="1" applyBorder="1" applyAlignment="1" applyProtection="1">
      <alignment/>
      <protection locked="0"/>
    </xf>
    <xf numFmtId="41" fontId="8" fillId="0" borderId="38" xfId="48" applyNumberFormat="1" applyFont="1" applyBorder="1" applyAlignment="1" applyProtection="1">
      <alignment/>
      <protection locked="0"/>
    </xf>
    <xf numFmtId="41" fontId="1" fillId="0" borderId="39" xfId="48" applyNumberFormat="1" applyFont="1" applyBorder="1" applyAlignment="1">
      <alignment vertical="center" shrinkToFit="1"/>
    </xf>
    <xf numFmtId="41" fontId="1" fillId="0" borderId="40" xfId="48" applyNumberFormat="1" applyFont="1" applyBorder="1" applyAlignment="1">
      <alignment vertical="center" shrinkToFit="1"/>
    </xf>
    <xf numFmtId="41" fontId="8" fillId="0" borderId="26" xfId="48" applyNumberFormat="1" applyFont="1" applyFill="1" applyBorder="1" applyAlignment="1" applyProtection="1">
      <alignment/>
      <protection locked="0"/>
    </xf>
    <xf numFmtId="41" fontId="8" fillId="0" borderId="36" xfId="48" applyNumberFormat="1" applyFont="1" applyFill="1" applyBorder="1" applyAlignment="1" applyProtection="1">
      <alignment/>
      <protection locked="0"/>
    </xf>
    <xf numFmtId="41" fontId="8" fillId="0" borderId="27" xfId="48" applyNumberFormat="1" applyFont="1" applyFill="1" applyBorder="1" applyAlignment="1" applyProtection="1">
      <alignment/>
      <protection locked="0"/>
    </xf>
    <xf numFmtId="38" fontId="8" fillId="0" borderId="41" xfId="48" applyFont="1" applyBorder="1" applyAlignment="1" applyProtection="1">
      <alignment/>
      <protection locked="0"/>
    </xf>
    <xf numFmtId="41" fontId="8" fillId="0" borderId="42" xfId="48" applyNumberFormat="1" applyFont="1" applyBorder="1" applyAlignment="1" applyProtection="1">
      <alignment shrinkToFit="1"/>
      <protection locked="0"/>
    </xf>
    <xf numFmtId="41" fontId="8" fillId="0" borderId="38" xfId="48" applyNumberFormat="1" applyFont="1" applyBorder="1" applyAlignment="1" applyProtection="1">
      <alignment shrinkToFit="1"/>
      <protection locked="0"/>
    </xf>
    <xf numFmtId="41" fontId="8" fillId="0" borderId="37" xfId="48" applyNumberFormat="1" applyFont="1" applyBorder="1" applyAlignment="1" applyProtection="1">
      <alignment shrinkToFit="1"/>
      <protection locked="0"/>
    </xf>
    <xf numFmtId="41" fontId="8" fillId="0" borderId="43" xfId="48" applyNumberFormat="1" applyFont="1" applyBorder="1" applyAlignment="1" applyProtection="1">
      <alignment shrinkToFit="1"/>
      <protection locked="0"/>
    </xf>
    <xf numFmtId="41" fontId="8" fillId="0" borderId="44" xfId="48" applyNumberFormat="1" applyFont="1" applyBorder="1" applyAlignment="1" applyProtection="1">
      <alignment/>
      <protection locked="0"/>
    </xf>
    <xf numFmtId="41" fontId="8" fillId="0" borderId="45" xfId="48" applyNumberFormat="1" applyFont="1" applyBorder="1" applyAlignment="1" applyProtection="1">
      <alignment/>
      <protection locked="0"/>
    </xf>
    <xf numFmtId="41" fontId="8" fillId="0" borderId="46" xfId="48" applyNumberFormat="1" applyFont="1" applyBorder="1" applyAlignment="1" applyProtection="1">
      <alignment/>
      <protection locked="0"/>
    </xf>
    <xf numFmtId="41" fontId="8" fillId="0" borderId="0" xfId="48" applyNumberFormat="1" applyFont="1" applyBorder="1" applyAlignment="1" applyProtection="1">
      <alignment/>
      <protection locked="0"/>
    </xf>
    <xf numFmtId="41" fontId="8" fillId="0" borderId="47" xfId="48" applyNumberFormat="1" applyFont="1" applyFill="1" applyBorder="1" applyAlignment="1" applyProtection="1">
      <alignment/>
      <protection locked="0"/>
    </xf>
    <xf numFmtId="41" fontId="1" fillId="0" borderId="35" xfId="48" applyNumberFormat="1" applyFont="1" applyBorder="1" applyAlignment="1" applyProtection="1">
      <alignment horizontal="center"/>
      <protection/>
    </xf>
    <xf numFmtId="41" fontId="8" fillId="0" borderId="48" xfId="48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 horizontal="right"/>
      <protection locked="0"/>
    </xf>
    <xf numFmtId="41" fontId="8" fillId="0" borderId="44" xfId="48" applyNumberFormat="1" applyFont="1" applyBorder="1" applyAlignment="1" applyProtection="1">
      <alignment shrinkToFit="1"/>
      <protection/>
    </xf>
    <xf numFmtId="41" fontId="8" fillId="0" borderId="49" xfId="48" applyNumberFormat="1" applyFont="1" applyBorder="1" applyAlignment="1" applyProtection="1">
      <alignment/>
      <protection locked="0"/>
    </xf>
    <xf numFmtId="41" fontId="8" fillId="0" borderId="50" xfId="48" applyNumberFormat="1" applyFont="1" applyBorder="1" applyAlignment="1" applyProtection="1">
      <alignment/>
      <protection locked="0"/>
    </xf>
    <xf numFmtId="41" fontId="1" fillId="0" borderId="25" xfId="48" applyNumberFormat="1" applyFont="1" applyBorder="1" applyAlignment="1">
      <alignment vertical="center" shrinkToFit="1"/>
    </xf>
    <xf numFmtId="41" fontId="8" fillId="0" borderId="51" xfId="48" applyNumberFormat="1" applyFont="1" applyBorder="1" applyAlignment="1" applyProtection="1">
      <alignment shrinkToFit="1"/>
      <protection locked="0"/>
    </xf>
    <xf numFmtId="41" fontId="8" fillId="0" borderId="52" xfId="48" applyNumberFormat="1" applyFont="1" applyBorder="1" applyAlignment="1" applyProtection="1">
      <alignment shrinkToFit="1"/>
      <protection locked="0"/>
    </xf>
    <xf numFmtId="41" fontId="8" fillId="0" borderId="53" xfId="48" applyNumberFormat="1" applyFont="1" applyBorder="1" applyAlignment="1" applyProtection="1">
      <alignment shrinkToFit="1"/>
      <protection locked="0"/>
    </xf>
    <xf numFmtId="41" fontId="8" fillId="0" borderId="54" xfId="48" applyNumberFormat="1" applyFont="1" applyBorder="1" applyAlignment="1" applyProtection="1">
      <alignment shrinkToFit="1"/>
      <protection locked="0"/>
    </xf>
    <xf numFmtId="41" fontId="8" fillId="0" borderId="26" xfId="48" applyNumberFormat="1" applyFont="1" applyBorder="1" applyAlignment="1" applyProtection="1">
      <alignment shrinkToFit="1"/>
      <protection locked="0"/>
    </xf>
    <xf numFmtId="41" fontId="8" fillId="0" borderId="36" xfId="48" applyNumberFormat="1" applyFont="1" applyBorder="1" applyAlignment="1" applyProtection="1">
      <alignment shrinkToFit="1"/>
      <protection locked="0"/>
    </xf>
    <xf numFmtId="41" fontId="8" fillId="0" borderId="55" xfId="48" applyNumberFormat="1" applyFont="1" applyBorder="1" applyAlignment="1" applyProtection="1">
      <alignment/>
      <protection locked="0"/>
    </xf>
    <xf numFmtId="41" fontId="8" fillId="0" borderId="56" xfId="48" applyNumberFormat="1" applyFont="1" applyBorder="1" applyAlignment="1" applyProtection="1">
      <alignment/>
      <protection locked="0"/>
    </xf>
    <xf numFmtId="41" fontId="8" fillId="0" borderId="57" xfId="48" applyNumberFormat="1" applyFont="1" applyBorder="1" applyAlignment="1" applyProtection="1">
      <alignment/>
      <protection locked="0"/>
    </xf>
    <xf numFmtId="41" fontId="8" fillId="0" borderId="58" xfId="48" applyNumberFormat="1" applyFont="1" applyBorder="1" applyAlignment="1" applyProtection="1">
      <alignment/>
      <protection locked="0"/>
    </xf>
    <xf numFmtId="41" fontId="8" fillId="0" borderId="59" xfId="48" applyNumberFormat="1" applyFont="1" applyBorder="1" applyAlignment="1" applyProtection="1">
      <alignment/>
      <protection locked="0"/>
    </xf>
    <xf numFmtId="41" fontId="1" fillId="0" borderId="60" xfId="48" applyNumberFormat="1" applyFont="1" applyBorder="1" applyAlignment="1" applyProtection="1">
      <alignment/>
      <protection/>
    </xf>
    <xf numFmtId="41" fontId="1" fillId="0" borderId="30" xfId="48" applyNumberFormat="1" applyFont="1" applyFill="1" applyBorder="1" applyAlignment="1" applyProtection="1">
      <alignment/>
      <protection/>
    </xf>
    <xf numFmtId="41" fontId="1" fillId="0" borderId="61" xfId="48" applyNumberFormat="1" applyFont="1" applyBorder="1" applyAlignment="1" applyProtection="1">
      <alignment horizontal="center"/>
      <protection/>
    </xf>
    <xf numFmtId="41" fontId="1" fillId="0" borderId="62" xfId="48" applyNumberFormat="1" applyFont="1" applyBorder="1" applyAlignment="1" applyProtection="1">
      <alignment horizontal="center"/>
      <protection/>
    </xf>
    <xf numFmtId="41" fontId="8" fillId="0" borderId="48" xfId="0" applyNumberFormat="1" applyFont="1" applyBorder="1" applyAlignment="1" applyProtection="1">
      <alignment horizontal="right"/>
      <protection locked="0"/>
    </xf>
    <xf numFmtId="41" fontId="8" fillId="0" borderId="48" xfId="0" applyNumberFormat="1" applyFont="1" applyFill="1" applyBorder="1" applyAlignment="1" applyProtection="1">
      <alignment horizontal="right"/>
      <protection locked="0"/>
    </xf>
    <xf numFmtId="41" fontId="8" fillId="0" borderId="63" xfId="48" applyNumberFormat="1" applyFont="1" applyBorder="1" applyAlignment="1" applyProtection="1">
      <alignment/>
      <protection locked="0"/>
    </xf>
    <xf numFmtId="41" fontId="8" fillId="0" borderId="39" xfId="48" applyNumberFormat="1" applyFont="1" applyBorder="1" applyAlignment="1" applyProtection="1">
      <alignment/>
      <protection locked="0"/>
    </xf>
    <xf numFmtId="41" fontId="1" fillId="0" borderId="23" xfId="48" applyNumberFormat="1" applyFont="1" applyBorder="1" applyAlignment="1">
      <alignment vertical="center" shrinkToFit="1"/>
    </xf>
    <xf numFmtId="41" fontId="8" fillId="0" borderId="64" xfId="48" applyNumberFormat="1" applyFont="1" applyBorder="1" applyAlignment="1" applyProtection="1">
      <alignment/>
      <protection locked="0"/>
    </xf>
    <xf numFmtId="41" fontId="1" fillId="0" borderId="65" xfId="48" applyNumberFormat="1" applyFont="1" applyBorder="1" applyAlignment="1">
      <alignment vertical="center" shrinkToFit="1"/>
    </xf>
    <xf numFmtId="41" fontId="1" fillId="0" borderId="66" xfId="48" applyNumberFormat="1" applyFont="1" applyBorder="1" applyAlignment="1" applyProtection="1">
      <alignment horizontal="center"/>
      <protection/>
    </xf>
    <xf numFmtId="41" fontId="1" fillId="0" borderId="25" xfId="48" applyNumberFormat="1" applyFont="1" applyBorder="1" applyAlignment="1" applyProtection="1">
      <alignment horizontal="center"/>
      <protection/>
    </xf>
    <xf numFmtId="41" fontId="8" fillId="0" borderId="67" xfId="48" applyNumberFormat="1" applyFont="1" applyBorder="1" applyAlignment="1" applyProtection="1">
      <alignment/>
      <protection locked="0"/>
    </xf>
    <xf numFmtId="41" fontId="1" fillId="0" borderId="66" xfId="48" applyNumberFormat="1" applyFont="1" applyBorder="1" applyAlignment="1" applyProtection="1">
      <alignment horizontal="left"/>
      <protection/>
    </xf>
    <xf numFmtId="41" fontId="1" fillId="0" borderId="25" xfId="48" applyNumberFormat="1" applyFont="1" applyBorder="1" applyAlignment="1" applyProtection="1">
      <alignment horizontal="left"/>
      <protection/>
    </xf>
    <xf numFmtId="41" fontId="8" fillId="0" borderId="41" xfId="48" applyNumberFormat="1" applyFont="1" applyBorder="1" applyAlignment="1" applyProtection="1">
      <alignment/>
      <protection locked="0"/>
    </xf>
    <xf numFmtId="41" fontId="1" fillId="0" borderId="68" xfId="48" applyNumberFormat="1" applyFont="1" applyBorder="1" applyAlignment="1">
      <alignment vertical="center" shrinkToFit="1"/>
    </xf>
    <xf numFmtId="41" fontId="1" fillId="0" borderId="69" xfId="48" applyNumberFormat="1" applyFont="1" applyBorder="1" applyAlignment="1">
      <alignment vertical="center" shrinkToFit="1"/>
    </xf>
    <xf numFmtId="41" fontId="1" fillId="0" borderId="61" xfId="48" applyNumberFormat="1" applyFont="1" applyFill="1" applyBorder="1" applyAlignment="1" applyProtection="1">
      <alignment/>
      <protection/>
    </xf>
    <xf numFmtId="41" fontId="8" fillId="0" borderId="55" xfId="48" applyNumberFormat="1" applyFont="1" applyFill="1" applyBorder="1" applyAlignment="1" applyProtection="1">
      <alignment shrinkToFit="1"/>
      <protection locked="0"/>
    </xf>
    <xf numFmtId="41" fontId="8" fillId="0" borderId="56" xfId="48" applyNumberFormat="1" applyFont="1" applyFill="1" applyBorder="1" applyAlignment="1" applyProtection="1">
      <alignment shrinkToFit="1"/>
      <protection locked="0"/>
    </xf>
    <xf numFmtId="41" fontId="8" fillId="0" borderId="57" xfId="48" applyNumberFormat="1" applyFont="1" applyFill="1" applyBorder="1" applyAlignment="1" applyProtection="1">
      <alignment shrinkToFit="1"/>
      <protection locked="0"/>
    </xf>
    <xf numFmtId="41" fontId="1" fillId="0" borderId="70" xfId="48" applyNumberFormat="1" applyFont="1" applyFill="1" applyBorder="1" applyAlignment="1">
      <alignment vertical="center" shrinkToFit="1"/>
    </xf>
    <xf numFmtId="41" fontId="1" fillId="0" borderId="25" xfId="48" applyNumberFormat="1" applyFont="1" applyFill="1" applyBorder="1" applyAlignment="1">
      <alignment vertical="center" shrinkToFit="1"/>
    </xf>
    <xf numFmtId="41" fontId="8" fillId="0" borderId="58" xfId="48" applyNumberFormat="1" applyFont="1" applyFill="1" applyBorder="1" applyAlignment="1" applyProtection="1">
      <alignment shrinkToFit="1"/>
      <protection locked="0"/>
    </xf>
    <xf numFmtId="41" fontId="1" fillId="0" borderId="56" xfId="48" applyNumberFormat="1" applyFont="1" applyFill="1" applyBorder="1" applyAlignment="1">
      <alignment vertical="center" shrinkToFit="1"/>
    </xf>
    <xf numFmtId="41" fontId="8" fillId="0" borderId="71" xfId="48" applyNumberFormat="1" applyFont="1" applyFill="1" applyBorder="1" applyAlignment="1" applyProtection="1">
      <alignment shrinkToFit="1"/>
      <protection locked="0"/>
    </xf>
    <xf numFmtId="41" fontId="1" fillId="0" borderId="72" xfId="48" applyNumberFormat="1" applyFont="1" applyFill="1" applyBorder="1" applyAlignment="1">
      <alignment vertical="center" shrinkToFit="1"/>
    </xf>
    <xf numFmtId="41" fontId="8" fillId="0" borderId="25" xfId="48" applyNumberFormat="1" applyFont="1" applyFill="1" applyBorder="1" applyAlignment="1" applyProtection="1">
      <alignment shrinkToFit="1"/>
      <protection locked="0"/>
    </xf>
    <xf numFmtId="41" fontId="8" fillId="0" borderId="23" xfId="48" applyNumberFormat="1" applyFont="1" applyFill="1" applyBorder="1" applyAlignment="1" applyProtection="1">
      <alignment shrinkToFit="1"/>
      <protection locked="0"/>
    </xf>
    <xf numFmtId="41" fontId="8" fillId="0" borderId="70" xfId="48" applyNumberFormat="1" applyFont="1" applyFill="1" applyBorder="1" applyAlignment="1" applyProtection="1">
      <alignment shrinkToFit="1"/>
      <protection locked="0"/>
    </xf>
    <xf numFmtId="41" fontId="1" fillId="0" borderId="23" xfId="48" applyNumberFormat="1" applyFont="1" applyFill="1" applyBorder="1" applyAlignment="1">
      <alignment vertical="center" shrinkToFit="1"/>
    </xf>
    <xf numFmtId="41" fontId="8" fillId="0" borderId="0" xfId="48" applyNumberFormat="1" applyFont="1" applyFill="1" applyBorder="1" applyAlignment="1" applyProtection="1">
      <alignment shrinkToFit="1"/>
      <protection/>
    </xf>
    <xf numFmtId="41" fontId="3" fillId="0" borderId="0" xfId="48" applyNumberFormat="1" applyFont="1" applyFill="1" applyAlignment="1" applyProtection="1">
      <alignment/>
      <protection/>
    </xf>
    <xf numFmtId="41" fontId="1" fillId="0" borderId="32" xfId="48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right"/>
    </xf>
    <xf numFmtId="41" fontId="1" fillId="0" borderId="17" xfId="48" applyNumberFormat="1" applyFont="1" applyFill="1" applyBorder="1" applyAlignment="1" applyProtection="1">
      <alignment horizontal="left"/>
      <protection/>
    </xf>
    <xf numFmtId="41" fontId="1" fillId="0" borderId="30" xfId="48" applyNumberFormat="1" applyFont="1" applyFill="1" applyBorder="1" applyAlignment="1" applyProtection="1">
      <alignment horizontal="center"/>
      <protection/>
    </xf>
    <xf numFmtId="41" fontId="1" fillId="0" borderId="34" xfId="48" applyNumberFormat="1" applyFont="1" applyFill="1" applyBorder="1" applyAlignment="1" applyProtection="1">
      <alignment horizontal="left"/>
      <protection/>
    </xf>
    <xf numFmtId="41" fontId="1" fillId="0" borderId="66" xfId="48" applyNumberFormat="1" applyFont="1" applyFill="1" applyBorder="1" applyAlignment="1" applyProtection="1">
      <alignment horizontal="center"/>
      <protection/>
    </xf>
    <xf numFmtId="41" fontId="1" fillId="0" borderId="23" xfId="48" applyNumberFormat="1" applyFont="1" applyFill="1" applyBorder="1" applyAlignment="1" applyProtection="1">
      <alignment horizontal="center"/>
      <protection/>
    </xf>
    <xf numFmtId="41" fontId="1" fillId="0" borderId="25" xfId="48" applyNumberFormat="1" applyFont="1" applyFill="1" applyBorder="1" applyAlignment="1" applyProtection="1">
      <alignment horizontal="center"/>
      <protection/>
    </xf>
    <xf numFmtId="207" fontId="1" fillId="0" borderId="0" xfId="48" applyNumberFormat="1" applyFont="1" applyFill="1" applyAlignment="1" applyProtection="1">
      <alignment/>
      <protection/>
    </xf>
    <xf numFmtId="41" fontId="1" fillId="0" borderId="22" xfId="48" applyNumberFormat="1" applyFont="1" applyBorder="1" applyAlignment="1" applyProtection="1">
      <alignment horizontal="center"/>
      <protection/>
    </xf>
    <xf numFmtId="41" fontId="1" fillId="0" borderId="73" xfId="48" applyNumberFormat="1" applyFont="1" applyFill="1" applyBorder="1" applyAlignment="1" applyProtection="1">
      <alignment/>
      <protection/>
    </xf>
    <xf numFmtId="41" fontId="1" fillId="0" borderId="73" xfId="48" applyNumberFormat="1" applyFont="1" applyBorder="1" applyAlignment="1" applyProtection="1">
      <alignment/>
      <protection/>
    </xf>
    <xf numFmtId="41" fontId="1" fillId="0" borderId="74" xfId="48" applyNumberFormat="1" applyFont="1" applyBorder="1" applyAlignment="1" applyProtection="1">
      <alignment/>
      <protection/>
    </xf>
    <xf numFmtId="41" fontId="1" fillId="0" borderId="75" xfId="48" applyNumberFormat="1" applyFont="1" applyBorder="1" applyAlignment="1" applyProtection="1">
      <alignment/>
      <protection/>
    </xf>
    <xf numFmtId="41" fontId="1" fillId="0" borderId="75" xfId="48" applyNumberFormat="1" applyFont="1" applyFill="1" applyBorder="1" applyAlignment="1" applyProtection="1">
      <alignment/>
      <protection/>
    </xf>
    <xf numFmtId="41" fontId="1" fillId="0" borderId="76" xfId="48" applyNumberFormat="1" applyFont="1" applyFill="1" applyBorder="1" applyAlignment="1" applyProtection="1">
      <alignment horizontal="center"/>
      <protection/>
    </xf>
    <xf numFmtId="41" fontId="1" fillId="0" borderId="76" xfId="48" applyNumberFormat="1" applyFont="1" applyBorder="1" applyAlignment="1" applyProtection="1">
      <alignment horizontal="center"/>
      <protection/>
    </xf>
    <xf numFmtId="41" fontId="8" fillId="0" borderId="77" xfId="48" applyNumberFormat="1" applyFont="1" applyFill="1" applyBorder="1" applyAlignment="1" applyProtection="1">
      <alignment/>
      <protection locked="0"/>
    </xf>
    <xf numFmtId="41" fontId="8" fillId="0" borderId="77" xfId="48" applyNumberFormat="1" applyFont="1" applyBorder="1" applyAlignment="1" applyProtection="1">
      <alignment/>
      <protection locked="0"/>
    </xf>
    <xf numFmtId="41" fontId="8" fillId="0" borderId="74" xfId="48" applyNumberFormat="1" applyFont="1" applyFill="1" applyBorder="1" applyAlignment="1" applyProtection="1">
      <alignment shrinkToFit="1"/>
      <protection locked="0"/>
    </xf>
    <xf numFmtId="41" fontId="8" fillId="0" borderId="22" xfId="48" applyNumberFormat="1" applyFont="1" applyBorder="1" applyAlignment="1" applyProtection="1">
      <alignment/>
      <protection locked="0"/>
    </xf>
    <xf numFmtId="41" fontId="8" fillId="0" borderId="78" xfId="48" applyNumberFormat="1" applyFont="1" applyBorder="1" applyAlignment="1" applyProtection="1">
      <alignment/>
      <protection locked="0"/>
    </xf>
    <xf numFmtId="41" fontId="1" fillId="0" borderId="79" xfId="48" applyNumberFormat="1" applyFont="1" applyBorder="1" applyAlignment="1" applyProtection="1">
      <alignment/>
      <protection/>
    </xf>
    <xf numFmtId="41" fontId="8" fillId="0" borderId="80" xfId="48" applyNumberFormat="1" applyFont="1" applyBorder="1" applyAlignment="1" applyProtection="1">
      <alignment shrinkToFit="1"/>
      <protection locked="0"/>
    </xf>
    <xf numFmtId="41" fontId="8" fillId="0" borderId="60" xfId="48" applyNumberFormat="1" applyFont="1" applyBorder="1" applyAlignment="1" applyProtection="1">
      <alignment/>
      <protection locked="0"/>
    </xf>
    <xf numFmtId="41" fontId="1" fillId="0" borderId="81" xfId="48" applyNumberFormat="1" applyFont="1" applyFill="1" applyBorder="1" applyAlignment="1" applyProtection="1">
      <alignment/>
      <protection/>
    </xf>
    <xf numFmtId="41" fontId="1" fillId="0" borderId="62" xfId="48" applyNumberFormat="1" applyFont="1" applyFill="1" applyBorder="1" applyAlignment="1" applyProtection="1">
      <alignment horizontal="center"/>
      <protection/>
    </xf>
    <xf numFmtId="41" fontId="1" fillId="0" borderId="62" xfId="48" applyNumberFormat="1" applyFont="1" applyFill="1" applyBorder="1" applyAlignment="1" applyProtection="1">
      <alignment/>
      <protection/>
    </xf>
    <xf numFmtId="41" fontId="1" fillId="0" borderId="79" xfId="48" applyNumberFormat="1" applyFont="1" applyFill="1" applyBorder="1" applyAlignment="1" applyProtection="1">
      <alignment/>
      <protection/>
    </xf>
    <xf numFmtId="41" fontId="1" fillId="0" borderId="62" xfId="48" applyNumberFormat="1" applyFont="1" applyBorder="1" applyAlignment="1" applyProtection="1">
      <alignment/>
      <protection/>
    </xf>
    <xf numFmtId="41" fontId="1" fillId="0" borderId="82" xfId="48" applyNumberFormat="1" applyFont="1" applyFill="1" applyBorder="1" applyAlignment="1" applyProtection="1">
      <alignment/>
      <protection/>
    </xf>
    <xf numFmtId="41" fontId="1" fillId="0" borderId="77" xfId="48" applyNumberFormat="1" applyFont="1" applyFill="1" applyBorder="1" applyAlignment="1" applyProtection="1">
      <alignment/>
      <protection/>
    </xf>
    <xf numFmtId="41" fontId="1" fillId="0" borderId="61" xfId="48" applyNumberFormat="1" applyFont="1" applyBorder="1" applyAlignment="1" applyProtection="1">
      <alignment/>
      <protection/>
    </xf>
    <xf numFmtId="41" fontId="1" fillId="0" borderId="83" xfId="48" applyNumberFormat="1" applyFont="1" applyFill="1" applyBorder="1" applyAlignment="1" applyProtection="1">
      <alignment/>
      <protection/>
    </xf>
    <xf numFmtId="41" fontId="8" fillId="0" borderId="84" xfId="48" applyNumberFormat="1" applyFont="1" applyBorder="1" applyAlignment="1" applyProtection="1">
      <alignment shrinkToFit="1"/>
      <protection/>
    </xf>
    <xf numFmtId="209" fontId="1" fillId="0" borderId="0" xfId="48" applyNumberFormat="1" applyFont="1" applyFill="1" applyAlignment="1" applyProtection="1">
      <alignment/>
      <protection/>
    </xf>
    <xf numFmtId="41" fontId="1" fillId="0" borderId="26" xfId="48" applyNumberFormat="1" applyFont="1" applyFill="1" applyBorder="1" applyAlignment="1" applyProtection="1">
      <alignment/>
      <protection locked="0"/>
    </xf>
    <xf numFmtId="41" fontId="1" fillId="0" borderId="36" xfId="48" applyNumberFormat="1" applyFont="1" applyFill="1" applyBorder="1" applyAlignment="1" applyProtection="1">
      <alignment/>
      <protection locked="0"/>
    </xf>
    <xf numFmtId="41" fontId="1" fillId="0" borderId="27" xfId="48" applyNumberFormat="1" applyFont="1" applyFill="1" applyBorder="1" applyAlignment="1" applyProtection="1">
      <alignment/>
      <protection locked="0"/>
    </xf>
    <xf numFmtId="41" fontId="1" fillId="0" borderId="77" xfId="48" applyNumberFormat="1" applyFont="1" applyFill="1" applyBorder="1" applyAlignment="1" applyProtection="1">
      <alignment/>
      <protection locked="0"/>
    </xf>
    <xf numFmtId="41" fontId="8" fillId="0" borderId="83" xfId="48" applyNumberFormat="1" applyFont="1" applyBorder="1" applyAlignment="1" applyProtection="1">
      <alignment shrinkToFit="1"/>
      <protection/>
    </xf>
    <xf numFmtId="41" fontId="1" fillId="0" borderId="82" xfId="48" applyNumberFormat="1" applyFont="1" applyBorder="1" applyAlignment="1" applyProtection="1">
      <alignment horizontal="center"/>
      <protection/>
    </xf>
    <xf numFmtId="41" fontId="6" fillId="0" borderId="0" xfId="48" applyNumberFormat="1" applyFont="1" applyAlignment="1" applyProtection="1">
      <alignment horizontal="center"/>
      <protection/>
    </xf>
    <xf numFmtId="41" fontId="7" fillId="0" borderId="0" xfId="48" applyNumberFormat="1" applyFont="1" applyAlignment="1" applyProtection="1">
      <alignment horizontal="center"/>
      <protection/>
    </xf>
    <xf numFmtId="41" fontId="1" fillId="0" borderId="36" xfId="48" applyNumberFormat="1" applyFont="1" applyBorder="1" applyAlignment="1">
      <alignment vertical="center" shrinkToFit="1"/>
    </xf>
    <xf numFmtId="41" fontId="8" fillId="0" borderId="26" xfId="0" applyNumberFormat="1" applyFont="1" applyFill="1" applyBorder="1" applyAlignment="1" applyProtection="1">
      <alignment/>
      <protection/>
    </xf>
    <xf numFmtId="41" fontId="8" fillId="0" borderId="26" xfId="0" applyNumberFormat="1" applyFont="1" applyBorder="1" applyAlignment="1" applyProtection="1">
      <alignment/>
      <protection/>
    </xf>
    <xf numFmtId="41" fontId="8" fillId="0" borderId="36" xfId="0" applyNumberFormat="1" applyFont="1" applyFill="1" applyBorder="1" applyAlignment="1" applyProtection="1">
      <alignment/>
      <protection/>
    </xf>
    <xf numFmtId="41" fontId="8" fillId="0" borderId="36" xfId="0" applyNumberFormat="1" applyFont="1" applyBorder="1" applyAlignment="1" applyProtection="1">
      <alignment/>
      <protection/>
    </xf>
    <xf numFmtId="41" fontId="1" fillId="0" borderId="85" xfId="50" applyNumberFormat="1" applyFont="1" applyBorder="1" applyAlignment="1">
      <alignment vertical="center" shrinkToFit="1"/>
    </xf>
    <xf numFmtId="41" fontId="1" fillId="0" borderId="85" xfId="50" applyNumberFormat="1" applyFont="1" applyBorder="1" applyAlignment="1">
      <alignment vertical="center"/>
    </xf>
    <xf numFmtId="41" fontId="8" fillId="0" borderId="26" xfId="48" applyNumberFormat="1" applyFont="1" applyFill="1" applyBorder="1" applyAlignment="1" applyProtection="1">
      <alignment/>
      <protection/>
    </xf>
    <xf numFmtId="41" fontId="8" fillId="0" borderId="26" xfId="48" applyNumberFormat="1" applyFont="1" applyBorder="1" applyAlignment="1" applyProtection="1">
      <alignment/>
      <protection/>
    </xf>
    <xf numFmtId="41" fontId="8" fillId="0" borderId="36" xfId="48" applyNumberFormat="1" applyFont="1" applyFill="1" applyBorder="1" applyAlignment="1" applyProtection="1">
      <alignment/>
      <protection/>
    </xf>
    <xf numFmtId="41" fontId="8" fillId="0" borderId="36" xfId="48" applyNumberFormat="1" applyFont="1" applyBorder="1" applyAlignment="1" applyProtection="1">
      <alignment/>
      <protection/>
    </xf>
    <xf numFmtId="41" fontId="1" fillId="0" borderId="45" xfId="48" applyNumberFormat="1" applyFont="1" applyBorder="1" applyAlignment="1">
      <alignment vertical="center" shrinkToFit="1"/>
    </xf>
    <xf numFmtId="41" fontId="1" fillId="0" borderId="38" xfId="48" applyNumberFormat="1" applyFont="1" applyBorder="1" applyAlignment="1">
      <alignment vertical="center" shrinkToFit="1"/>
    </xf>
    <xf numFmtId="41" fontId="1" fillId="0" borderId="27" xfId="48" applyNumberFormat="1" applyFont="1" applyBorder="1" applyAlignment="1">
      <alignment vertical="center" shrinkToFit="1"/>
    </xf>
    <xf numFmtId="41" fontId="1" fillId="0" borderId="86" xfId="50" applyNumberFormat="1" applyFont="1" applyBorder="1" applyAlignment="1">
      <alignment vertical="center"/>
    </xf>
    <xf numFmtId="41" fontId="8" fillId="0" borderId="0" xfId="48" applyNumberFormat="1" applyFont="1" applyFill="1" applyBorder="1" applyAlignment="1" applyProtection="1">
      <alignment/>
      <protection/>
    </xf>
    <xf numFmtId="41" fontId="8" fillId="0" borderId="0" xfId="48" applyNumberFormat="1" applyFont="1" applyBorder="1" applyAlignment="1" applyProtection="1">
      <alignment/>
      <protection/>
    </xf>
    <xf numFmtId="41" fontId="8" fillId="0" borderId="87" xfId="48" applyNumberFormat="1" applyFont="1" applyFill="1" applyBorder="1" applyAlignment="1" applyProtection="1">
      <alignment/>
      <protection/>
    </xf>
    <xf numFmtId="41" fontId="8" fillId="0" borderId="88" xfId="48" applyNumberFormat="1" applyFont="1" applyBorder="1" applyAlignment="1" applyProtection="1">
      <alignment/>
      <protection/>
    </xf>
    <xf numFmtId="41" fontId="8" fillId="0" borderId="48" xfId="48" applyNumberFormat="1" applyFont="1" applyFill="1" applyBorder="1" applyAlignment="1" applyProtection="1">
      <alignment/>
      <protection/>
    </xf>
    <xf numFmtId="41" fontId="8" fillId="0" borderId="36" xfId="48" applyNumberFormat="1" applyFont="1" applyFill="1" applyBorder="1" applyAlignment="1" applyProtection="1">
      <alignment horizontal="center"/>
      <protection/>
    </xf>
    <xf numFmtId="41" fontId="8" fillId="0" borderId="36" xfId="48" applyNumberFormat="1" applyFont="1" applyBorder="1" applyAlignment="1" applyProtection="1">
      <alignment horizontal="center"/>
      <protection/>
    </xf>
    <xf numFmtId="38" fontId="8" fillId="0" borderId="36" xfId="48" applyFont="1" applyBorder="1" applyAlignment="1" applyProtection="1">
      <alignment horizontal="center"/>
      <protection/>
    </xf>
    <xf numFmtId="41" fontId="8" fillId="0" borderId="89" xfId="48" applyNumberFormat="1" applyFont="1" applyFill="1" applyBorder="1" applyAlignment="1" applyProtection="1">
      <alignment horizontal="center"/>
      <protection/>
    </xf>
    <xf numFmtId="41" fontId="8" fillId="0" borderId="90" xfId="48" applyNumberFormat="1" applyFont="1" applyBorder="1" applyAlignment="1" applyProtection="1">
      <alignment horizontal="center"/>
      <protection/>
    </xf>
    <xf numFmtId="41" fontId="1" fillId="0" borderId="91" xfId="48" applyNumberFormat="1" applyFont="1" applyBorder="1" applyAlignment="1">
      <alignment vertical="center" shrinkToFit="1"/>
    </xf>
    <xf numFmtId="41" fontId="1" fillId="0" borderId="28" xfId="48" applyNumberFormat="1" applyFont="1" applyFill="1" applyBorder="1" applyAlignment="1">
      <alignment vertical="center" shrinkToFit="1"/>
    </xf>
    <xf numFmtId="41" fontId="8" fillId="0" borderId="92" xfId="48" applyNumberFormat="1" applyFont="1" applyFill="1" applyBorder="1" applyAlignment="1" applyProtection="1">
      <alignment/>
      <protection/>
    </xf>
    <xf numFmtId="41" fontId="8" fillId="0" borderId="93" xfId="48" applyNumberFormat="1" applyFont="1" applyBorder="1" applyAlignment="1" applyProtection="1">
      <alignment/>
      <protection/>
    </xf>
    <xf numFmtId="41" fontId="1" fillId="0" borderId="93" xfId="48" applyNumberFormat="1" applyFont="1" applyBorder="1" applyAlignment="1" applyProtection="1">
      <alignment/>
      <protection/>
    </xf>
    <xf numFmtId="41" fontId="8" fillId="0" borderId="94" xfId="48" applyNumberFormat="1" applyFont="1" applyBorder="1" applyAlignment="1" applyProtection="1">
      <alignment/>
      <protection/>
    </xf>
    <xf numFmtId="41" fontId="8" fillId="0" borderId="92" xfId="48" applyNumberFormat="1" applyFont="1" applyBorder="1" applyAlignment="1" applyProtection="1">
      <alignment/>
      <protection/>
    </xf>
    <xf numFmtId="41" fontId="8" fillId="0" borderId="93" xfId="48" applyNumberFormat="1" applyFont="1" applyFill="1" applyBorder="1" applyAlignment="1" applyProtection="1">
      <alignment/>
      <protection/>
    </xf>
    <xf numFmtId="41" fontId="8" fillId="0" borderId="95" xfId="48" applyNumberFormat="1" applyFont="1" applyFill="1" applyBorder="1" applyAlignment="1" applyProtection="1">
      <alignment/>
      <protection/>
    </xf>
    <xf numFmtId="41" fontId="8" fillId="0" borderId="96" xfId="48" applyNumberFormat="1" applyFont="1" applyFill="1" applyBorder="1" applyAlignment="1" applyProtection="1">
      <alignment/>
      <protection/>
    </xf>
    <xf numFmtId="196" fontId="1" fillId="0" borderId="26" xfId="48" applyNumberFormat="1" applyFont="1" applyBorder="1" applyAlignment="1" applyProtection="1">
      <alignment/>
      <protection/>
    </xf>
    <xf numFmtId="41" fontId="8" fillId="0" borderId="97" xfId="48" applyNumberFormat="1" applyFont="1" applyBorder="1" applyAlignment="1" applyProtection="1">
      <alignment/>
      <protection/>
    </xf>
    <xf numFmtId="41" fontId="8" fillId="0" borderId="98" xfId="48" applyNumberFormat="1" applyFont="1" applyFill="1" applyBorder="1" applyAlignment="1" applyProtection="1">
      <alignment shrinkToFit="1"/>
      <protection/>
    </xf>
    <xf numFmtId="41" fontId="8" fillId="0" borderId="96" xfId="48" applyNumberFormat="1" applyFont="1" applyBorder="1" applyAlignment="1" applyProtection="1">
      <alignment/>
      <protection/>
    </xf>
    <xf numFmtId="41" fontId="8" fillId="0" borderId="37" xfId="48" applyNumberFormat="1" applyFont="1" applyBorder="1" applyAlignment="1" applyProtection="1">
      <alignment/>
      <protection/>
    </xf>
    <xf numFmtId="41" fontId="8" fillId="0" borderId="27" xfId="48" applyNumberFormat="1" applyFont="1" applyFill="1" applyBorder="1" applyAlignment="1" applyProtection="1">
      <alignment/>
      <protection/>
    </xf>
    <xf numFmtId="41" fontId="8" fillId="0" borderId="27" xfId="48" applyNumberFormat="1" applyFont="1" applyBorder="1" applyAlignment="1" applyProtection="1">
      <alignment/>
      <protection/>
    </xf>
    <xf numFmtId="194" fontId="1" fillId="0" borderId="27" xfId="48" applyNumberFormat="1" applyFont="1" applyBorder="1" applyAlignment="1" applyProtection="1">
      <alignment/>
      <protection/>
    </xf>
    <xf numFmtId="41" fontId="8" fillId="0" borderId="99" xfId="48" applyNumberFormat="1" applyFont="1" applyBorder="1" applyAlignment="1" applyProtection="1">
      <alignment/>
      <protection/>
    </xf>
    <xf numFmtId="41" fontId="8" fillId="0" borderId="99" xfId="48" applyNumberFormat="1" applyFont="1" applyFill="1" applyBorder="1" applyAlignment="1" applyProtection="1">
      <alignment/>
      <protection/>
    </xf>
    <xf numFmtId="41" fontId="8" fillId="0" borderId="43" xfId="48" applyNumberFormat="1" applyFont="1" applyBorder="1" applyAlignment="1" applyProtection="1">
      <alignment/>
      <protection/>
    </xf>
    <xf numFmtId="41" fontId="8" fillId="0" borderId="83" xfId="48" applyNumberFormat="1" applyFont="1" applyBorder="1" applyAlignment="1" applyProtection="1">
      <alignment/>
      <protection/>
    </xf>
    <xf numFmtId="41" fontId="8" fillId="0" borderId="95" xfId="48" applyNumberFormat="1" applyFont="1" applyBorder="1" applyAlignment="1" applyProtection="1">
      <alignment/>
      <protection/>
    </xf>
    <xf numFmtId="41" fontId="8" fillId="0" borderId="83" xfId="48" applyNumberFormat="1" applyFont="1" applyFill="1" applyBorder="1" applyAlignment="1" applyProtection="1">
      <alignment/>
      <protection/>
    </xf>
    <xf numFmtId="196" fontId="1" fillId="0" borderId="26" xfId="0" applyNumberFormat="1" applyFont="1" applyBorder="1" applyAlignment="1" applyProtection="1">
      <alignment/>
      <protection/>
    </xf>
    <xf numFmtId="41" fontId="8" fillId="0" borderId="52" xfId="0" applyNumberFormat="1" applyFont="1" applyBorder="1" applyAlignment="1" applyProtection="1">
      <alignment/>
      <protection/>
    </xf>
    <xf numFmtId="41" fontId="8" fillId="0" borderId="48" xfId="48" applyNumberFormat="1" applyFont="1" applyBorder="1" applyAlignment="1" applyProtection="1">
      <alignment shrinkToFit="1"/>
      <protection/>
    </xf>
    <xf numFmtId="41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/>
      <protection/>
    </xf>
    <xf numFmtId="41" fontId="8" fillId="0" borderId="48" xfId="0" applyNumberFormat="1" applyFont="1" applyBorder="1" applyAlignment="1" applyProtection="1">
      <alignment/>
      <protection/>
    </xf>
    <xf numFmtId="41" fontId="1" fillId="0" borderId="48" xfId="0" applyNumberFormat="1" applyFont="1" applyBorder="1" applyAlignment="1" applyProtection="1">
      <alignment/>
      <protection/>
    </xf>
    <xf numFmtId="41" fontId="8" fillId="0" borderId="48" xfId="0" applyNumberFormat="1" applyFont="1" applyFill="1" applyBorder="1" applyAlignment="1" applyProtection="1">
      <alignment/>
      <protection/>
    </xf>
    <xf numFmtId="41" fontId="1" fillId="0" borderId="0" xfId="0" applyNumberFormat="1" applyFont="1" applyFill="1" applyBorder="1" applyAlignment="1" applyProtection="1">
      <alignment/>
      <protection/>
    </xf>
    <xf numFmtId="41" fontId="1" fillId="0" borderId="48" xfId="48" applyNumberFormat="1" applyFont="1" applyFill="1" applyBorder="1" applyAlignment="1" applyProtection="1">
      <alignment/>
      <protection/>
    </xf>
    <xf numFmtId="41" fontId="1" fillId="0" borderId="36" xfId="48" applyNumberFormat="1" applyFont="1" applyFill="1" applyBorder="1" applyAlignment="1" applyProtection="1">
      <alignment horizontal="center"/>
      <protection/>
    </xf>
    <xf numFmtId="41" fontId="8" fillId="0" borderId="100" xfId="48" applyNumberFormat="1" applyFont="1" applyBorder="1" applyAlignment="1" applyProtection="1">
      <alignment horizontal="center"/>
      <protection/>
    </xf>
    <xf numFmtId="41" fontId="8" fillId="0" borderId="45" xfId="48" applyNumberFormat="1" applyFont="1" applyBorder="1" applyAlignment="1" applyProtection="1">
      <alignment horizontal="center"/>
      <protection/>
    </xf>
    <xf numFmtId="196" fontId="1" fillId="0" borderId="83" xfId="48" applyNumberFormat="1" applyFont="1" applyFill="1" applyBorder="1" applyAlignment="1" applyProtection="1">
      <alignment shrinkToFit="1"/>
      <protection/>
    </xf>
    <xf numFmtId="196" fontId="1" fillId="0" borderId="26" xfId="48" applyNumberFormat="1" applyFont="1" applyFill="1" applyBorder="1" applyAlignment="1" applyProtection="1">
      <alignment shrinkToFit="1"/>
      <protection/>
    </xf>
    <xf numFmtId="41" fontId="8" fillId="0" borderId="26" xfId="48" applyNumberFormat="1" applyFont="1" applyBorder="1" applyAlignment="1" applyProtection="1">
      <alignment shrinkToFit="1"/>
      <protection/>
    </xf>
    <xf numFmtId="194" fontId="1" fillId="0" borderId="27" xfId="48" applyNumberFormat="1" applyFont="1" applyFill="1" applyBorder="1" applyAlignment="1" applyProtection="1">
      <alignment shrinkToFit="1"/>
      <protection/>
    </xf>
    <xf numFmtId="41" fontId="8" fillId="0" borderId="27" xfId="48" applyNumberFormat="1" applyFont="1" applyBorder="1" applyAlignment="1" applyProtection="1">
      <alignment shrinkToFit="1"/>
      <protection/>
    </xf>
    <xf numFmtId="41" fontId="8" fillId="0" borderId="57" xfId="0" applyNumberFormat="1" applyFont="1" applyBorder="1" applyAlignment="1" applyProtection="1">
      <alignment/>
      <protection locked="0"/>
    </xf>
    <xf numFmtId="41" fontId="8" fillId="0" borderId="57" xfId="0" applyNumberFormat="1" applyFont="1" applyFill="1" applyBorder="1" applyAlignment="1" applyProtection="1">
      <alignment/>
      <protection locked="0"/>
    </xf>
    <xf numFmtId="41" fontId="8" fillId="0" borderId="57" xfId="0" applyNumberFormat="1" applyFont="1" applyBorder="1" applyAlignment="1" applyProtection="1">
      <alignment shrinkToFit="1"/>
      <protection locked="0"/>
    </xf>
    <xf numFmtId="41" fontId="8" fillId="0" borderId="57" xfId="0" applyNumberFormat="1" applyFont="1" applyFill="1" applyBorder="1" applyAlignment="1" applyProtection="1">
      <alignment/>
      <protection/>
    </xf>
    <xf numFmtId="41" fontId="8" fillId="0" borderId="56" xfId="0" applyNumberFormat="1" applyFont="1" applyBorder="1" applyAlignment="1" applyProtection="1">
      <alignment/>
      <protection locked="0"/>
    </xf>
    <xf numFmtId="41" fontId="8" fillId="0" borderId="56" xfId="0" applyNumberFormat="1" applyFont="1" applyFill="1" applyBorder="1" applyAlignment="1" applyProtection="1">
      <alignment/>
      <protection locked="0"/>
    </xf>
    <xf numFmtId="41" fontId="8" fillId="0" borderId="56" xfId="0" applyNumberFormat="1" applyFont="1" applyBorder="1" applyAlignment="1" applyProtection="1">
      <alignment shrinkToFit="1"/>
      <protection locked="0"/>
    </xf>
    <xf numFmtId="41" fontId="8" fillId="0" borderId="101" xfId="0" applyNumberFormat="1" applyFont="1" applyBorder="1" applyAlignment="1" applyProtection="1">
      <alignment/>
      <protection locked="0"/>
    </xf>
    <xf numFmtId="41" fontId="8" fillId="0" borderId="21" xfId="0" applyNumberFormat="1" applyFont="1" applyFill="1" applyBorder="1" applyAlignment="1" applyProtection="1">
      <alignment/>
      <protection locked="0"/>
    </xf>
    <xf numFmtId="41" fontId="8" fillId="0" borderId="21" xfId="0" applyNumberFormat="1" applyFont="1" applyBorder="1" applyAlignment="1" applyProtection="1">
      <alignment shrinkToFit="1"/>
      <protection locked="0"/>
    </xf>
    <xf numFmtId="41" fontId="8" fillId="0" borderId="101" xfId="0" applyNumberFormat="1" applyFont="1" applyFill="1" applyBorder="1" applyAlignment="1" applyProtection="1">
      <alignment/>
      <protection locked="0"/>
    </xf>
    <xf numFmtId="41" fontId="8" fillId="0" borderId="21" xfId="0" applyNumberFormat="1" applyFont="1" applyBorder="1" applyAlignment="1" applyProtection="1">
      <alignment/>
      <protection locked="0"/>
    </xf>
    <xf numFmtId="41" fontId="1" fillId="0" borderId="57" xfId="0" applyNumberFormat="1" applyFont="1" applyBorder="1" applyAlignment="1" applyProtection="1">
      <alignment/>
      <protection locked="0"/>
    </xf>
    <xf numFmtId="41" fontId="8" fillId="0" borderId="55" xfId="0" applyNumberFormat="1" applyFont="1" applyBorder="1" applyAlignment="1" applyProtection="1">
      <alignment/>
      <protection locked="0"/>
    </xf>
    <xf numFmtId="41" fontId="8" fillId="0" borderId="55" xfId="0" applyNumberFormat="1" applyFont="1" applyBorder="1" applyAlignment="1" applyProtection="1">
      <alignment shrinkToFit="1"/>
      <protection locked="0"/>
    </xf>
    <xf numFmtId="41" fontId="1" fillId="0" borderId="70" xfId="0" applyNumberFormat="1" applyFont="1" applyBorder="1" applyAlignment="1" applyProtection="1">
      <alignment/>
      <protection locked="0"/>
    </xf>
    <xf numFmtId="41" fontId="1" fillId="0" borderId="56" xfId="0" applyNumberFormat="1" applyFont="1" applyBorder="1" applyAlignment="1" applyProtection="1">
      <alignment/>
      <protection locked="0"/>
    </xf>
    <xf numFmtId="41" fontId="8" fillId="0" borderId="70" xfId="0" applyNumberFormat="1" applyFont="1" applyFill="1" applyBorder="1" applyAlignment="1" applyProtection="1">
      <alignment/>
      <protection locked="0"/>
    </xf>
    <xf numFmtId="41" fontId="8" fillId="0" borderId="70" xfId="0" applyNumberFormat="1" applyFont="1" applyBorder="1" applyAlignment="1" applyProtection="1">
      <alignment/>
      <protection locked="0"/>
    </xf>
    <xf numFmtId="41" fontId="1" fillId="0" borderId="58" xfId="0" applyNumberFormat="1" applyFont="1" applyBorder="1" applyAlignment="1" applyProtection="1">
      <alignment/>
      <protection locked="0"/>
    </xf>
    <xf numFmtId="41" fontId="8" fillId="0" borderId="58" xfId="0" applyNumberFormat="1" applyFont="1" applyBorder="1" applyAlignment="1" applyProtection="1">
      <alignment/>
      <protection locked="0"/>
    </xf>
    <xf numFmtId="41" fontId="8" fillId="0" borderId="58" xfId="0" applyNumberFormat="1" applyFont="1" applyFill="1" applyBorder="1" applyAlignment="1" applyProtection="1">
      <alignment/>
      <protection locked="0"/>
    </xf>
    <xf numFmtId="41" fontId="1" fillId="0" borderId="21" xfId="0" applyNumberFormat="1" applyFont="1" applyBorder="1" applyAlignment="1" applyProtection="1">
      <alignment/>
      <protection locked="0"/>
    </xf>
    <xf numFmtId="41" fontId="8" fillId="0" borderId="102" xfId="0" applyNumberFormat="1" applyFont="1" applyBorder="1" applyAlignment="1" applyProtection="1">
      <alignment/>
      <protection locked="0"/>
    </xf>
    <xf numFmtId="41" fontId="8" fillId="0" borderId="58" xfId="0" applyNumberFormat="1" applyFont="1" applyBorder="1" applyAlignment="1" applyProtection="1">
      <alignment shrinkToFit="1"/>
      <protection locked="0"/>
    </xf>
    <xf numFmtId="41" fontId="8" fillId="0" borderId="58" xfId="0" applyNumberFormat="1" applyFont="1" applyBorder="1" applyAlignment="1" applyProtection="1">
      <alignment/>
      <protection/>
    </xf>
    <xf numFmtId="41" fontId="1" fillId="0" borderId="101" xfId="0" applyNumberFormat="1" applyFont="1" applyBorder="1" applyAlignment="1" applyProtection="1">
      <alignment/>
      <protection locked="0"/>
    </xf>
    <xf numFmtId="41" fontId="8" fillId="0" borderId="101" xfId="0" applyNumberFormat="1" applyFont="1" applyBorder="1" applyAlignment="1" applyProtection="1">
      <alignment shrinkToFit="1"/>
      <protection locked="0"/>
    </xf>
    <xf numFmtId="41" fontId="8" fillId="0" borderId="70" xfId="0" applyNumberFormat="1" applyFont="1" applyBorder="1" applyAlignment="1" applyProtection="1">
      <alignment shrinkToFit="1"/>
      <protection locked="0"/>
    </xf>
    <xf numFmtId="41" fontId="8" fillId="0" borderId="56" xfId="0" applyNumberFormat="1" applyFont="1" applyBorder="1" applyAlignment="1" applyProtection="1">
      <alignment horizontal="center"/>
      <protection/>
    </xf>
    <xf numFmtId="41" fontId="1" fillId="0" borderId="103" xfId="0" applyNumberFormat="1" applyFont="1" applyFill="1" applyBorder="1" applyAlignment="1" applyProtection="1">
      <alignment horizontal="center"/>
      <protection/>
    </xf>
    <xf numFmtId="41" fontId="8" fillId="0" borderId="104" xfId="0" applyNumberFormat="1" applyFont="1" applyBorder="1" applyAlignment="1" applyProtection="1">
      <alignment horizontal="center"/>
      <protection/>
    </xf>
    <xf numFmtId="41" fontId="8" fillId="0" borderId="103" xfId="0" applyNumberFormat="1" applyFont="1" applyBorder="1" applyAlignment="1" applyProtection="1">
      <alignment horizontal="center"/>
      <protection/>
    </xf>
    <xf numFmtId="41" fontId="8" fillId="0" borderId="56" xfId="0" applyNumberFormat="1" applyFont="1" applyFill="1" applyBorder="1" applyAlignment="1" applyProtection="1">
      <alignment horizontal="center"/>
      <protection/>
    </xf>
    <xf numFmtId="41" fontId="8" fillId="0" borderId="103" xfId="0" applyNumberFormat="1" applyFont="1" applyFill="1" applyBorder="1" applyAlignment="1" applyProtection="1">
      <alignment horizontal="center"/>
      <protection/>
    </xf>
    <xf numFmtId="41" fontId="8" fillId="0" borderId="24" xfId="0" applyNumberFormat="1" applyFont="1" applyBorder="1" applyAlignment="1" applyProtection="1">
      <alignment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8" fillId="0" borderId="74" xfId="0" applyNumberFormat="1" applyFont="1" applyBorder="1" applyAlignment="1" applyProtection="1">
      <alignment/>
      <protection locked="0"/>
    </xf>
    <xf numFmtId="41" fontId="8" fillId="0" borderId="24" xfId="0" applyNumberFormat="1" applyFont="1" applyBorder="1" applyAlignment="1" applyProtection="1">
      <alignment shrinkToFit="1"/>
      <protection locked="0"/>
    </xf>
    <xf numFmtId="41" fontId="8" fillId="0" borderId="24" xfId="48" applyNumberFormat="1" applyFont="1" applyBorder="1" applyAlignment="1" applyProtection="1">
      <alignment/>
      <protection/>
    </xf>
    <xf numFmtId="196" fontId="1" fillId="0" borderId="24" xfId="48" applyNumberFormat="1" applyFont="1" applyFill="1" applyBorder="1" applyAlignment="1" applyProtection="1">
      <alignment shrinkToFit="1"/>
      <protection/>
    </xf>
    <xf numFmtId="41" fontId="8" fillId="0" borderId="24" xfId="48" applyNumberFormat="1" applyFont="1" applyBorder="1" applyAlignment="1" applyProtection="1">
      <alignment shrinkToFit="1"/>
      <protection/>
    </xf>
    <xf numFmtId="41" fontId="8" fillId="0" borderId="24" xfId="48" applyNumberFormat="1" applyFont="1" applyFill="1" applyBorder="1" applyAlignment="1" applyProtection="1">
      <alignment/>
      <protection/>
    </xf>
    <xf numFmtId="41" fontId="8" fillId="0" borderId="57" xfId="48" applyNumberFormat="1" applyFont="1" applyBorder="1" applyAlignment="1" applyProtection="1">
      <alignment/>
      <protection/>
    </xf>
    <xf numFmtId="196" fontId="1" fillId="0" borderId="57" xfId="48" applyNumberFormat="1" applyFont="1" applyFill="1" applyBorder="1" applyAlignment="1" applyProtection="1">
      <alignment shrinkToFit="1"/>
      <protection/>
    </xf>
    <xf numFmtId="41" fontId="8" fillId="0" borderId="57" xfId="48" applyNumberFormat="1" applyFont="1" applyBorder="1" applyAlignment="1" applyProtection="1">
      <alignment shrinkToFit="1"/>
      <protection/>
    </xf>
    <xf numFmtId="41" fontId="8" fillId="0" borderId="57" xfId="48" applyNumberFormat="1" applyFont="1" applyFill="1" applyBorder="1" applyAlignment="1" applyProtection="1">
      <alignment/>
      <protection/>
    </xf>
    <xf numFmtId="41" fontId="8" fillId="0" borderId="101" xfId="48" applyNumberFormat="1" applyFont="1" applyFill="1" applyBorder="1" applyAlignment="1" applyProtection="1">
      <alignment/>
      <protection/>
    </xf>
    <xf numFmtId="194" fontId="1" fillId="0" borderId="21" xfId="48" applyNumberFormat="1" applyFont="1" applyFill="1" applyBorder="1" applyAlignment="1" applyProtection="1">
      <alignment shrinkToFit="1"/>
      <protection/>
    </xf>
    <xf numFmtId="41" fontId="8" fillId="0" borderId="21" xfId="48" applyNumberFormat="1" applyFont="1" applyFill="1" applyBorder="1" applyAlignment="1" applyProtection="1">
      <alignment shrinkToFit="1"/>
      <protection/>
    </xf>
    <xf numFmtId="41" fontId="8" fillId="0" borderId="21" xfId="48" applyNumberFormat="1" applyFont="1" applyFill="1" applyBorder="1" applyAlignment="1" applyProtection="1">
      <alignment/>
      <protection/>
    </xf>
    <xf numFmtId="41" fontId="1" fillId="0" borderId="105" xfId="48" applyNumberFormat="1" applyFont="1" applyBorder="1" applyAlignment="1" applyProtection="1">
      <alignment horizontal="center"/>
      <protection/>
    </xf>
    <xf numFmtId="41" fontId="8" fillId="0" borderId="106" xfId="0" applyNumberFormat="1" applyFont="1" applyFill="1" applyBorder="1" applyAlignment="1" applyProtection="1">
      <alignment/>
      <protection locked="0"/>
    </xf>
    <xf numFmtId="41" fontId="1" fillId="0" borderId="24" xfId="0" applyNumberFormat="1" applyFont="1" applyBorder="1" applyAlignment="1" applyProtection="1">
      <alignment/>
      <protection locked="0"/>
    </xf>
    <xf numFmtId="41" fontId="1" fillId="0" borderId="25" xfId="0" applyNumberFormat="1" applyFont="1" applyBorder="1" applyAlignment="1" applyProtection="1">
      <alignment/>
      <protection locked="0"/>
    </xf>
    <xf numFmtId="41" fontId="8" fillId="0" borderId="22" xfId="48" applyNumberFormat="1" applyFont="1" applyBorder="1" applyAlignment="1" applyProtection="1">
      <alignment/>
      <protection/>
    </xf>
    <xf numFmtId="196" fontId="1" fillId="0" borderId="22" xfId="48" applyNumberFormat="1" applyFont="1" applyBorder="1" applyAlignment="1" applyProtection="1">
      <alignment/>
      <protection/>
    </xf>
    <xf numFmtId="41" fontId="8" fillId="0" borderId="22" xfId="48" applyNumberFormat="1" applyFont="1" applyBorder="1" applyAlignment="1" applyProtection="1">
      <alignment shrinkToFit="1"/>
      <protection/>
    </xf>
    <xf numFmtId="41" fontId="8" fillId="0" borderId="22" xfId="48" applyNumberFormat="1" applyFont="1" applyFill="1" applyBorder="1" applyAlignment="1" applyProtection="1">
      <alignment/>
      <protection/>
    </xf>
    <xf numFmtId="196" fontId="1" fillId="0" borderId="57" xfId="48" applyNumberFormat="1" applyFont="1" applyBorder="1" applyAlignment="1" applyProtection="1">
      <alignment/>
      <protection/>
    </xf>
    <xf numFmtId="41" fontId="8" fillId="0" borderId="21" xfId="48" applyNumberFormat="1" applyFont="1" applyBorder="1" applyAlignment="1" applyProtection="1">
      <alignment/>
      <protection/>
    </xf>
    <xf numFmtId="41" fontId="8" fillId="0" borderId="101" xfId="48" applyNumberFormat="1" applyFont="1" applyBorder="1" applyAlignment="1" applyProtection="1">
      <alignment/>
      <protection/>
    </xf>
    <xf numFmtId="194" fontId="1" fillId="0" borderId="21" xfId="48" applyNumberFormat="1" applyFont="1" applyBorder="1" applyAlignment="1" applyProtection="1">
      <alignment/>
      <protection/>
    </xf>
    <xf numFmtId="41" fontId="8" fillId="0" borderId="21" xfId="48" applyNumberFormat="1" applyFont="1" applyBorder="1" applyAlignment="1" applyProtection="1">
      <alignment shrinkToFit="1"/>
      <protection/>
    </xf>
    <xf numFmtId="41" fontId="1" fillId="0" borderId="56" xfId="0" applyNumberFormat="1" applyFont="1" applyBorder="1" applyAlignment="1" applyProtection="1">
      <alignment horizontal="center"/>
      <protection/>
    </xf>
    <xf numFmtId="41" fontId="1" fillId="0" borderId="25" xfId="48" applyNumberFormat="1" applyFont="1" applyFill="1" applyBorder="1" applyAlignment="1" applyProtection="1">
      <alignment/>
      <protection/>
    </xf>
    <xf numFmtId="41" fontId="8" fillId="0" borderId="25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 shrinkToFit="1"/>
      <protection locked="0"/>
    </xf>
    <xf numFmtId="41" fontId="8" fillId="0" borderId="25" xfId="0" applyNumberFormat="1" applyFont="1" applyFill="1" applyBorder="1" applyAlignment="1" applyProtection="1">
      <alignment/>
      <protection locked="0"/>
    </xf>
    <xf numFmtId="41" fontId="8" fillId="0" borderId="107" xfId="0" applyNumberFormat="1" applyFont="1" applyBorder="1" applyAlignment="1" applyProtection="1">
      <alignment/>
      <protection locked="0"/>
    </xf>
    <xf numFmtId="41" fontId="1" fillId="0" borderId="107" xfId="0" applyNumberFormat="1" applyFont="1" applyBorder="1" applyAlignment="1" applyProtection="1">
      <alignment/>
      <protection locked="0"/>
    </xf>
    <xf numFmtId="41" fontId="8" fillId="0" borderId="107" xfId="0" applyNumberFormat="1" applyFont="1" applyBorder="1" applyAlignment="1" applyProtection="1">
      <alignment shrinkToFit="1"/>
      <protection locked="0"/>
    </xf>
    <xf numFmtId="41" fontId="8" fillId="0" borderId="107" xfId="0" applyNumberFormat="1" applyFont="1" applyFill="1" applyBorder="1" applyAlignment="1" applyProtection="1">
      <alignment/>
      <protection locked="0"/>
    </xf>
    <xf numFmtId="41" fontId="8" fillId="0" borderId="57" xfId="0" applyNumberFormat="1" applyFont="1" applyBorder="1" applyAlignment="1" applyProtection="1">
      <alignment/>
      <protection/>
    </xf>
    <xf numFmtId="41" fontId="8" fillId="0" borderId="101" xfId="48" applyNumberFormat="1" applyFont="1" applyBorder="1" applyAlignment="1" applyProtection="1">
      <alignment shrinkToFit="1"/>
      <protection/>
    </xf>
    <xf numFmtId="41" fontId="1" fillId="0" borderId="103" xfId="0" applyNumberFormat="1" applyFont="1" applyBorder="1" applyAlignment="1" applyProtection="1">
      <alignment horizontal="center"/>
      <protection/>
    </xf>
    <xf numFmtId="41" fontId="1" fillId="0" borderId="106" xfId="0" applyNumberFormat="1" applyFont="1" applyBorder="1" applyAlignment="1" applyProtection="1">
      <alignment/>
      <protection locked="0"/>
    </xf>
    <xf numFmtId="41" fontId="8" fillId="0" borderId="106" xfId="0" applyNumberFormat="1" applyFont="1" applyBorder="1" applyAlignment="1" applyProtection="1">
      <alignment/>
      <protection locked="0"/>
    </xf>
    <xf numFmtId="41" fontId="8" fillId="0" borderId="22" xfId="0" applyNumberFormat="1" applyFont="1" applyBorder="1" applyAlignment="1" applyProtection="1">
      <alignment/>
      <protection/>
    </xf>
    <xf numFmtId="196" fontId="1" fillId="0" borderId="22" xfId="0" applyNumberFormat="1" applyFont="1" applyBorder="1" applyAlignment="1" applyProtection="1">
      <alignment/>
      <protection/>
    </xf>
    <xf numFmtId="41" fontId="8" fillId="0" borderId="22" xfId="48" applyNumberFormat="1" applyFont="1" applyFill="1" applyBorder="1" applyAlignment="1" applyProtection="1">
      <alignment shrinkToFit="1"/>
      <protection/>
    </xf>
    <xf numFmtId="41" fontId="8" fillId="0" borderId="22" xfId="0" applyNumberFormat="1" applyFont="1" applyFill="1" applyBorder="1" applyAlignment="1" applyProtection="1">
      <alignment/>
      <protection/>
    </xf>
    <xf numFmtId="41" fontId="8" fillId="0" borderId="57" xfId="48" applyNumberFormat="1" applyFont="1" applyFill="1" applyBorder="1" applyAlignment="1" applyProtection="1">
      <alignment shrinkToFit="1"/>
      <protection/>
    </xf>
    <xf numFmtId="41" fontId="8" fillId="0" borderId="21" xfId="0" applyNumberFormat="1" applyFont="1" applyBorder="1" applyAlignment="1" applyProtection="1">
      <alignment/>
      <protection/>
    </xf>
    <xf numFmtId="41" fontId="8" fillId="0" borderId="101" xfId="0" applyNumberFormat="1" applyFont="1" applyBorder="1" applyAlignment="1" applyProtection="1">
      <alignment/>
      <protection/>
    </xf>
    <xf numFmtId="194" fontId="1" fillId="0" borderId="21" xfId="0" applyNumberFormat="1" applyFont="1" applyBorder="1" applyAlignment="1" applyProtection="1">
      <alignment/>
      <protection/>
    </xf>
    <xf numFmtId="41" fontId="8" fillId="0" borderId="21" xfId="0" applyNumberFormat="1" applyFont="1" applyFill="1" applyBorder="1" applyAlignment="1" applyProtection="1">
      <alignment shrinkToFit="1"/>
      <protection/>
    </xf>
    <xf numFmtId="41" fontId="8" fillId="0" borderId="101" xfId="0" applyNumberFormat="1" applyFont="1" applyFill="1" applyBorder="1" applyAlignment="1" applyProtection="1">
      <alignment/>
      <protection/>
    </xf>
    <xf numFmtId="41" fontId="8" fillId="0" borderId="2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 horizontal="right"/>
      <protection locked="0"/>
    </xf>
    <xf numFmtId="41" fontId="6" fillId="0" borderId="0" xfId="48" applyNumberFormat="1" applyFont="1" applyAlignment="1" applyProtection="1">
      <alignment horizontal="center"/>
      <protection/>
    </xf>
    <xf numFmtId="41" fontId="1" fillId="0" borderId="108" xfId="48" applyNumberFormat="1" applyFont="1" applyBorder="1" applyAlignment="1" applyProtection="1">
      <alignment horizontal="center" vertical="center"/>
      <protection/>
    </xf>
    <xf numFmtId="41" fontId="1" fillId="0" borderId="109" xfId="48" applyNumberFormat="1" applyFont="1" applyBorder="1" applyAlignment="1" applyProtection="1">
      <alignment horizontal="center" vertical="center"/>
      <protection/>
    </xf>
    <xf numFmtId="41" fontId="1" fillId="0" borderId="29" xfId="48" applyNumberFormat="1" applyFont="1" applyBorder="1" applyAlignment="1" applyProtection="1">
      <alignment horizontal="center" vertical="center"/>
      <protection/>
    </xf>
    <xf numFmtId="41" fontId="1" fillId="0" borderId="59" xfId="48" applyNumberFormat="1" applyFont="1" applyBorder="1" applyAlignment="1" applyProtection="1">
      <alignment horizontal="center" vertical="center"/>
      <protection/>
    </xf>
    <xf numFmtId="41" fontId="4" fillId="0" borderId="66" xfId="48" applyNumberFormat="1" applyFont="1" applyBorder="1" applyAlignment="1" applyProtection="1">
      <alignment horizontal="center" vertical="center"/>
      <protection/>
    </xf>
    <xf numFmtId="41" fontId="4" fillId="0" borderId="23" xfId="48" applyNumberFormat="1" applyFont="1" applyBorder="1" applyAlignment="1" applyProtection="1">
      <alignment horizontal="center" vertical="center"/>
      <protection/>
    </xf>
    <xf numFmtId="41" fontId="1" fillId="0" borderId="66" xfId="48" applyNumberFormat="1" applyFont="1" applyBorder="1" applyAlignment="1" applyProtection="1">
      <alignment horizontal="center" vertical="center"/>
      <protection/>
    </xf>
    <xf numFmtId="41" fontId="1" fillId="0" borderId="23" xfId="48" applyNumberFormat="1" applyFont="1" applyBorder="1" applyAlignment="1" applyProtection="1">
      <alignment horizontal="center" vertical="center"/>
      <protection/>
    </xf>
    <xf numFmtId="41" fontId="4" fillId="0" borderId="108" xfId="48" applyNumberFormat="1" applyFont="1" applyBorder="1" applyAlignment="1" applyProtection="1">
      <alignment horizontal="center" vertical="center"/>
      <protection/>
    </xf>
    <xf numFmtId="41" fontId="4" fillId="0" borderId="109" xfId="48" applyNumberFormat="1" applyFont="1" applyBorder="1" applyAlignment="1" applyProtection="1">
      <alignment horizontal="center" vertical="center"/>
      <protection/>
    </xf>
    <xf numFmtId="41" fontId="4" fillId="0" borderId="29" xfId="48" applyNumberFormat="1" applyFont="1" applyBorder="1" applyAlignment="1" applyProtection="1">
      <alignment horizontal="center" vertical="center"/>
      <protection/>
    </xf>
    <xf numFmtId="41" fontId="4" fillId="0" borderId="59" xfId="48" applyNumberFormat="1" applyFont="1" applyBorder="1" applyAlignment="1" applyProtection="1">
      <alignment horizontal="center" vertical="center"/>
      <protection/>
    </xf>
    <xf numFmtId="41" fontId="4" fillId="0" borderId="66" xfId="48" applyNumberFormat="1" applyFont="1" applyFill="1" applyBorder="1" applyAlignment="1" applyProtection="1">
      <alignment horizontal="center" vertical="center"/>
      <protection/>
    </xf>
    <xf numFmtId="41" fontId="4" fillId="0" borderId="23" xfId="48" applyNumberFormat="1" applyFont="1" applyFill="1" applyBorder="1" applyAlignment="1" applyProtection="1">
      <alignment horizontal="center" vertical="center"/>
      <protection/>
    </xf>
    <xf numFmtId="41" fontId="4" fillId="0" borderId="108" xfId="48" applyNumberFormat="1" applyFont="1" applyFill="1" applyBorder="1" applyAlignment="1" applyProtection="1">
      <alignment horizontal="center" vertical="center"/>
      <protection/>
    </xf>
    <xf numFmtId="41" fontId="4" fillId="0" borderId="109" xfId="48" applyNumberFormat="1" applyFont="1" applyFill="1" applyBorder="1" applyAlignment="1" applyProtection="1">
      <alignment horizontal="center" vertical="center"/>
      <protection/>
    </xf>
    <xf numFmtId="41" fontId="4" fillId="0" borderId="29" xfId="48" applyNumberFormat="1" applyFont="1" applyFill="1" applyBorder="1" applyAlignment="1" applyProtection="1">
      <alignment horizontal="center" vertical="center"/>
      <protection/>
    </xf>
    <xf numFmtId="41" fontId="4" fillId="0" borderId="59" xfId="48" applyNumberFormat="1" applyFont="1" applyFill="1" applyBorder="1" applyAlignment="1" applyProtection="1">
      <alignment horizontal="center" vertical="center"/>
      <protection/>
    </xf>
    <xf numFmtId="41" fontId="1" fillId="0" borderId="66" xfId="48" applyNumberFormat="1" applyFont="1" applyFill="1" applyBorder="1" applyAlignment="1" applyProtection="1">
      <alignment horizontal="center" vertical="center"/>
      <protection/>
    </xf>
    <xf numFmtId="41" fontId="1" fillId="0" borderId="23" xfId="48" applyNumberFormat="1" applyFont="1" applyFill="1" applyBorder="1" applyAlignment="1" applyProtection="1">
      <alignment horizontal="center" vertical="center"/>
      <protection/>
    </xf>
    <xf numFmtId="41" fontId="1" fillId="0" borderId="108" xfId="48" applyNumberFormat="1" applyFont="1" applyFill="1" applyBorder="1" applyAlignment="1" applyProtection="1">
      <alignment horizontal="center" vertical="center"/>
      <protection/>
    </xf>
    <xf numFmtId="41" fontId="1" fillId="0" borderId="109" xfId="48" applyNumberFormat="1" applyFont="1" applyFill="1" applyBorder="1" applyAlignment="1" applyProtection="1">
      <alignment horizontal="center" vertical="center"/>
      <protection/>
    </xf>
    <xf numFmtId="41" fontId="1" fillId="0" borderId="29" xfId="48" applyNumberFormat="1" applyFont="1" applyFill="1" applyBorder="1" applyAlignment="1" applyProtection="1">
      <alignment horizontal="center" vertical="center"/>
      <protection/>
    </xf>
    <xf numFmtId="41" fontId="1" fillId="0" borderId="59" xfId="48" applyNumberFormat="1" applyFont="1" applyFill="1" applyBorder="1" applyAlignment="1" applyProtection="1">
      <alignment horizontal="center" vertical="center"/>
      <protection/>
    </xf>
    <xf numFmtId="41" fontId="7" fillId="0" borderId="0" xfId="48" applyNumberFormat="1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tabSelected="1" zoomScale="50" zoomScaleNormal="50" zoomScaleSheetLayoutView="65" zoomScalePageLayoutView="0" workbookViewId="0" topLeftCell="A1">
      <pane xSplit="3" ySplit="4" topLeftCell="D7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2.625" style="11" customWidth="1"/>
    <col min="16" max="16" width="25.625" style="37" customWidth="1"/>
    <col min="17" max="16384" width="9.00390625" style="79" customWidth="1"/>
  </cols>
  <sheetData>
    <row r="1" spans="1:16" ht="30.75" customHeight="1">
      <c r="A1" s="400" t="s">
        <v>196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</row>
    <row r="2" spans="1:16" ht="30.7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5" ht="19.5" customHeight="1" thickBot="1">
      <c r="A3" s="12" t="s">
        <v>86</v>
      </c>
      <c r="B3" s="39"/>
      <c r="C3" s="12"/>
      <c r="O3" s="12" t="s">
        <v>197</v>
      </c>
    </row>
    <row r="4" spans="1:16" ht="19.5" customHeight="1">
      <c r="A4" s="40"/>
      <c r="B4" s="41"/>
      <c r="C4" s="41"/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8</v>
      </c>
      <c r="K4" s="42" t="s">
        <v>9</v>
      </c>
      <c r="L4" s="42" t="s">
        <v>10</v>
      </c>
      <c r="M4" s="42" t="s">
        <v>11</v>
      </c>
      <c r="N4" s="42" t="s">
        <v>12</v>
      </c>
      <c r="O4" s="42" t="s">
        <v>13</v>
      </c>
      <c r="P4" s="43" t="s">
        <v>14</v>
      </c>
    </row>
    <row r="5" spans="1:16" ht="19.5" customHeight="1">
      <c r="A5" s="45" t="s">
        <v>0</v>
      </c>
      <c r="B5" s="382" t="s">
        <v>15</v>
      </c>
      <c r="C5" s="54" t="s">
        <v>16</v>
      </c>
      <c r="D5" s="1">
        <f>SUM('㈱塩釜:牡鹿'!D5)</f>
        <v>1246.2697</v>
      </c>
      <c r="E5" s="1">
        <f>SUM('㈱塩釜:牡鹿'!E5)</f>
        <v>119.3432</v>
      </c>
      <c r="F5" s="1">
        <f>SUM('㈱塩釜:牡鹿'!F5)</f>
        <v>0.2872</v>
      </c>
      <c r="G5" s="1">
        <f>SUM('㈱塩釜:牡鹿'!G5)</f>
        <v>0.074</v>
      </c>
      <c r="H5" s="1">
        <f>SUM('㈱塩釜:牡鹿'!H5)</f>
        <v>267.6476</v>
      </c>
      <c r="I5" s="1">
        <f>SUM('㈱塩釜:牡鹿'!I5)</f>
        <v>2915.384</v>
      </c>
      <c r="J5" s="1">
        <f>SUM('㈱塩釜:牡鹿'!J5)</f>
        <v>334.43039999999996</v>
      </c>
      <c r="K5" s="1">
        <f>SUM('㈱塩釜:牡鹿'!K5)</f>
        <v>100.3545</v>
      </c>
      <c r="L5" s="1">
        <f>SUM('㈱塩釜:牡鹿'!L5)</f>
        <v>66.3728</v>
      </c>
      <c r="M5" s="1">
        <f>SUM('㈱塩釜:牡鹿'!M5)</f>
        <v>67.6719</v>
      </c>
      <c r="N5" s="1">
        <f>SUM('㈱塩釜:牡鹿'!N5)</f>
        <v>2643.676</v>
      </c>
      <c r="O5" s="1">
        <f>SUM('㈱塩釜:牡鹿'!O5)</f>
        <v>2100.4014</v>
      </c>
      <c r="P5" s="8">
        <f>SUM('㈱塩釜:牡鹿'!P5)</f>
        <v>9861.912699999999</v>
      </c>
    </row>
    <row r="6" spans="1:16" ht="19.5" customHeight="1">
      <c r="A6" s="45" t="s">
        <v>17</v>
      </c>
      <c r="B6" s="383"/>
      <c r="C6" s="48" t="s">
        <v>18</v>
      </c>
      <c r="D6" s="2">
        <f>SUM('㈱塩釜:牡鹿'!D6)</f>
        <v>150406.2900009437</v>
      </c>
      <c r="E6" s="2">
        <f>SUM('㈱塩釜:牡鹿'!E6)</f>
        <v>7304.191000000001</v>
      </c>
      <c r="F6" s="2">
        <f>SUM('㈱塩釜:牡鹿'!F6)</f>
        <v>75.17500000000001</v>
      </c>
      <c r="G6" s="2">
        <f>SUM('㈱塩釜:牡鹿'!G6)</f>
        <v>15.861999963759175</v>
      </c>
      <c r="H6" s="2">
        <f>SUM('㈱塩釜:牡鹿'!H6)</f>
        <v>23257.611</v>
      </c>
      <c r="I6" s="2">
        <f>SUM('㈱塩釜:牡鹿'!I6)</f>
        <v>340082.2520010675</v>
      </c>
      <c r="J6" s="2">
        <f>SUM('㈱塩釜:牡鹿'!J6)</f>
        <v>81941.81599990228</v>
      </c>
      <c r="K6" s="2">
        <f>SUM('㈱塩釜:牡鹿'!K6)</f>
        <v>4501.562999999999</v>
      </c>
      <c r="L6" s="2">
        <f>SUM('㈱塩釜:牡鹿'!L6)</f>
        <v>2571.4219999999996</v>
      </c>
      <c r="M6" s="2">
        <f>SUM('㈱塩釜:牡鹿'!M6)</f>
        <v>2188.9379999999996</v>
      </c>
      <c r="N6" s="2">
        <f>SUM('㈱塩釜:牡鹿'!N6)</f>
        <v>51649.418000000005</v>
      </c>
      <c r="O6" s="2">
        <f>SUM('㈱塩釜:牡鹿'!O6)</f>
        <v>81394.902</v>
      </c>
      <c r="P6" s="9">
        <f>SUM('㈱塩釜:牡鹿'!P6)</f>
        <v>745389.4400018773</v>
      </c>
    </row>
    <row r="7" spans="1:16" ht="19.5" customHeight="1">
      <c r="A7" s="45" t="s">
        <v>19</v>
      </c>
      <c r="B7" s="47" t="s">
        <v>20</v>
      </c>
      <c r="C7" s="54" t="s">
        <v>16</v>
      </c>
      <c r="D7" s="1">
        <f>SUM('㈱塩釜:牡鹿'!D7)</f>
        <v>403.438</v>
      </c>
      <c r="E7" s="1">
        <f>SUM('㈱塩釜:牡鹿'!E7)</f>
        <v>170.0815</v>
      </c>
      <c r="F7" s="1">
        <f>SUM('㈱塩釜:牡鹿'!F7)</f>
        <v>95.926</v>
      </c>
      <c r="G7" s="1">
        <f>SUM('㈱塩釜:牡鹿'!G7)</f>
        <v>102.774</v>
      </c>
      <c r="H7" s="1">
        <f>SUM('㈱塩釜:牡鹿'!H7)</f>
        <v>34.2415</v>
      </c>
      <c r="I7" s="1">
        <f>SUM('㈱塩釜:牡鹿'!I7)</f>
        <v>887.741</v>
      </c>
      <c r="J7" s="1">
        <f>SUM('㈱塩釜:牡鹿'!J7)</f>
        <v>530.323</v>
      </c>
      <c r="K7" s="1">
        <f>SUM('㈱塩釜:牡鹿'!K7)</f>
        <v>287.952</v>
      </c>
      <c r="L7" s="1">
        <f>SUM('㈱塩釜:牡鹿'!L7)</f>
        <v>132.82399999999998</v>
      </c>
      <c r="M7" s="1">
        <f>SUM('㈱塩釜:牡鹿'!M7)</f>
        <v>156.2075</v>
      </c>
      <c r="N7" s="1">
        <f>SUM('㈱塩釜:牡鹿'!N7)</f>
        <v>205.39100000000002</v>
      </c>
      <c r="O7" s="1">
        <f>SUM('㈱塩釜:牡鹿'!O7)</f>
        <v>343.412</v>
      </c>
      <c r="P7" s="8">
        <f>SUM('㈱塩釜:牡鹿'!P7)</f>
        <v>3350.3115000000003</v>
      </c>
    </row>
    <row r="8" spans="1:16" ht="19.5" customHeight="1">
      <c r="A8" s="45" t="s">
        <v>21</v>
      </c>
      <c r="B8" s="48" t="s">
        <v>153</v>
      </c>
      <c r="C8" s="48" t="s">
        <v>18</v>
      </c>
      <c r="D8" s="2">
        <f>SUM('㈱塩釜:牡鹿'!D8)</f>
        <v>20816.886</v>
      </c>
      <c r="E8" s="2">
        <f>SUM('㈱塩釜:牡鹿'!E8)</f>
        <v>9150.667000000001</v>
      </c>
      <c r="F8" s="2">
        <f>SUM('㈱塩釜:牡鹿'!F8)</f>
        <v>5393.275999999999</v>
      </c>
      <c r="G8" s="2">
        <f>SUM('㈱塩釜:牡鹿'!G8)</f>
        <v>5594.8060000000005</v>
      </c>
      <c r="H8" s="2">
        <f>SUM('㈱塩釜:牡鹿'!H8)</f>
        <v>1819.5810000000001</v>
      </c>
      <c r="I8" s="2">
        <f>SUM('㈱塩釜:牡鹿'!I8)</f>
        <v>59933.931</v>
      </c>
      <c r="J8" s="2">
        <f>SUM('㈱塩釜:牡鹿'!J8)</f>
        <v>22982.895999999997</v>
      </c>
      <c r="K8" s="2">
        <f>SUM('㈱塩釜:牡鹿'!K8)</f>
        <v>11600.64</v>
      </c>
      <c r="L8" s="2">
        <f>SUM('㈱塩釜:牡鹿'!L8)</f>
        <v>3924.605</v>
      </c>
      <c r="M8" s="2">
        <f>SUM('㈱塩釜:牡鹿'!M8)</f>
        <v>3486.8030000000003</v>
      </c>
      <c r="N8" s="2">
        <f>SUM('㈱塩釜:牡鹿'!N8)</f>
        <v>4518.831999999999</v>
      </c>
      <c r="O8" s="2">
        <f>SUM('㈱塩釜:牡鹿'!O8)</f>
        <v>10817.667</v>
      </c>
      <c r="P8" s="9">
        <f>SUM('㈱塩釜:牡鹿'!P8)</f>
        <v>160040.59</v>
      </c>
    </row>
    <row r="9" spans="1:16" ht="19.5" customHeight="1">
      <c r="A9" s="45" t="s">
        <v>23</v>
      </c>
      <c r="B9" s="380" t="s">
        <v>194</v>
      </c>
      <c r="C9" s="54" t="s">
        <v>16</v>
      </c>
      <c r="D9" s="1">
        <f>SUM('㈱塩釜:牡鹿'!D9)</f>
        <v>1649.7077000000002</v>
      </c>
      <c r="E9" s="1">
        <f>SUM('㈱塩釜:牡鹿'!E9)</f>
        <v>289.4247</v>
      </c>
      <c r="F9" s="1">
        <f>SUM('㈱塩釜:牡鹿'!F9)</f>
        <v>96.2132</v>
      </c>
      <c r="G9" s="1">
        <f>SUM('㈱塩釜:牡鹿'!G9)</f>
        <v>102.848</v>
      </c>
      <c r="H9" s="1">
        <f>SUM('㈱塩釜:牡鹿'!H9)</f>
        <v>301.8891</v>
      </c>
      <c r="I9" s="1">
        <f>SUM('㈱塩釜:牡鹿'!I9)</f>
        <v>3803.1250000000005</v>
      </c>
      <c r="J9" s="1">
        <f>SUM('㈱塩釜:牡鹿'!J9)</f>
        <v>864.7533999999999</v>
      </c>
      <c r="K9" s="1">
        <f>SUM('㈱塩釜:牡鹿'!K9)</f>
        <v>388.30649999999997</v>
      </c>
      <c r="L9" s="1">
        <f>SUM('㈱塩釜:牡鹿'!L9)</f>
        <v>199.19679999999997</v>
      </c>
      <c r="M9" s="1">
        <f>SUM('㈱塩釜:牡鹿'!M9)</f>
        <v>223.87939999999998</v>
      </c>
      <c r="N9" s="1">
        <f>SUM('㈱塩釜:牡鹿'!N9)</f>
        <v>2849.067</v>
      </c>
      <c r="O9" s="1">
        <f>SUM('㈱塩釜:牡鹿'!O9)</f>
        <v>2443.8134</v>
      </c>
      <c r="P9" s="8">
        <f>SUM('㈱塩釜:牡鹿'!P9)</f>
        <v>13212.224199999999</v>
      </c>
    </row>
    <row r="10" spans="1:16" ht="19.5" customHeight="1">
      <c r="A10" s="49"/>
      <c r="B10" s="381"/>
      <c r="C10" s="48" t="s">
        <v>18</v>
      </c>
      <c r="D10" s="2">
        <f>SUM('㈱塩釜:牡鹿'!D10)</f>
        <v>171223.17600094373</v>
      </c>
      <c r="E10" s="2">
        <f>SUM('㈱塩釜:牡鹿'!E10)</f>
        <v>16454.858</v>
      </c>
      <c r="F10" s="2">
        <f>SUM('㈱塩釜:牡鹿'!F10)</f>
        <v>5468.450999999999</v>
      </c>
      <c r="G10" s="2">
        <f>SUM('㈱塩釜:牡鹿'!G10)</f>
        <v>5610.667999963759</v>
      </c>
      <c r="H10" s="2">
        <f>SUM('㈱塩釜:牡鹿'!H10)</f>
        <v>25077.192000000003</v>
      </c>
      <c r="I10" s="2">
        <f>SUM('㈱塩釜:牡鹿'!I10)</f>
        <v>400016.1830010675</v>
      </c>
      <c r="J10" s="2">
        <f>SUM('㈱塩釜:牡鹿'!J10)</f>
        <v>104924.71199990227</v>
      </c>
      <c r="K10" s="2">
        <f>SUM('㈱塩釜:牡鹿'!K10)</f>
        <v>16102.203000000001</v>
      </c>
      <c r="L10" s="2">
        <f>SUM('㈱塩釜:牡鹿'!L10)</f>
        <v>6496.026999999999</v>
      </c>
      <c r="M10" s="2">
        <f>SUM('㈱塩釜:牡鹿'!M10)</f>
        <v>5675.741</v>
      </c>
      <c r="N10" s="2">
        <f>SUM('㈱塩釜:牡鹿'!N10)</f>
        <v>56168.25</v>
      </c>
      <c r="O10" s="2">
        <f>SUM('㈱塩釜:牡鹿'!O10)</f>
        <v>92212.569</v>
      </c>
      <c r="P10" s="9">
        <f>SUM('㈱塩釜:牡鹿'!P10)</f>
        <v>905430.0300018771</v>
      </c>
    </row>
    <row r="11" spans="1:16" ht="19.5" customHeight="1">
      <c r="A11" s="376" t="s">
        <v>198</v>
      </c>
      <c r="B11" s="377"/>
      <c r="C11" s="54" t="s">
        <v>16</v>
      </c>
      <c r="D11" s="1">
        <f>SUM('㈱塩釜:牡鹿'!D11)</f>
        <v>0.2766</v>
      </c>
      <c r="E11" s="1">
        <f>SUM('㈱塩釜:牡鹿'!E11)</f>
        <v>0.7651999999999999</v>
      </c>
      <c r="F11" s="1">
        <f>SUM('㈱塩釜:牡鹿'!F11)</f>
        <v>1.621</v>
      </c>
      <c r="G11" s="1">
        <f>SUM('㈱塩釜:牡鹿'!G11)</f>
        <v>1.5587</v>
      </c>
      <c r="H11" s="1">
        <f>SUM('㈱塩釜:牡鹿'!H11)</f>
        <v>531.0606</v>
      </c>
      <c r="I11" s="1">
        <f>SUM('㈱塩釜:牡鹿'!I11)</f>
        <v>4845.7045</v>
      </c>
      <c r="J11" s="1">
        <f>SUM('㈱塩釜:牡鹿'!J11)</f>
        <v>12388.1404</v>
      </c>
      <c r="K11" s="1">
        <f>SUM('㈱塩釜:牡鹿'!K11)</f>
        <v>9739.571599999997</v>
      </c>
      <c r="L11" s="1">
        <f>SUM('㈱塩釜:牡鹿'!L11)</f>
        <v>6469.574200000001</v>
      </c>
      <c r="M11" s="1">
        <f>SUM('㈱塩釜:牡鹿'!M11)</f>
        <v>1583.6892</v>
      </c>
      <c r="N11" s="1">
        <f>SUM('㈱塩釜:牡鹿'!N11)</f>
        <v>3.768</v>
      </c>
      <c r="O11" s="1">
        <f>SUM('㈱塩釜:牡鹿'!O11)</f>
        <v>0.09440000000000001</v>
      </c>
      <c r="P11" s="8">
        <f>SUM('㈱塩釜:牡鹿'!P11)</f>
        <v>35565.8244</v>
      </c>
    </row>
    <row r="12" spans="1:16" ht="19.5" customHeight="1">
      <c r="A12" s="378"/>
      <c r="B12" s="379"/>
      <c r="C12" s="48" t="s">
        <v>18</v>
      </c>
      <c r="D12" s="2">
        <f>SUM('㈱塩釜:牡鹿'!D12)</f>
        <v>90.66800039635764</v>
      </c>
      <c r="E12" s="2">
        <f>SUM('㈱塩釜:牡鹿'!E12)</f>
        <v>157.05402397269177</v>
      </c>
      <c r="F12" s="2">
        <f>SUM('㈱塩釜:牡鹿'!F12)</f>
        <v>464.87525592001</v>
      </c>
      <c r="G12" s="2">
        <f>SUM('㈱塩釜:牡鹿'!G12)</f>
        <v>975.8404363583768</v>
      </c>
      <c r="H12" s="2">
        <f>SUM('㈱塩釜:牡鹿'!H12)</f>
        <v>80323.82421742797</v>
      </c>
      <c r="I12" s="2">
        <f>SUM('㈱塩釜:牡鹿'!I12)</f>
        <v>926999.4713408991</v>
      </c>
      <c r="J12" s="2">
        <f>SUM('㈱塩釜:牡鹿'!J12)</f>
        <v>2987685.561066446</v>
      </c>
      <c r="K12" s="2">
        <f>SUM('㈱塩釜:牡鹿'!K12)</f>
        <v>2650478.5224676197</v>
      </c>
      <c r="L12" s="2">
        <f>SUM('㈱塩釜:牡鹿'!L12)</f>
        <v>1756610.538139684</v>
      </c>
      <c r="M12" s="2">
        <f>SUM('㈱塩釜:牡鹿'!M12)</f>
        <v>630640.9153510646</v>
      </c>
      <c r="N12" s="2">
        <f>SUM('㈱塩釜:牡鹿'!N12)</f>
        <v>1670.9358006943048</v>
      </c>
      <c r="O12" s="2">
        <f>SUM('㈱塩釜:牡鹿'!O12)</f>
        <v>10.421879908949247</v>
      </c>
      <c r="P12" s="9">
        <f>SUM('㈱塩釜:牡鹿'!P12)</f>
        <v>9036108.62798039</v>
      </c>
    </row>
    <row r="13" spans="1:16" ht="19.5" customHeight="1">
      <c r="A13" s="50"/>
      <c r="B13" s="382" t="s">
        <v>26</v>
      </c>
      <c r="C13" s="54" t="s">
        <v>16</v>
      </c>
      <c r="D13" s="1">
        <f>SUM('㈱塩釜:牡鹿'!D13)</f>
        <v>10.3718</v>
      </c>
      <c r="E13" s="1">
        <f>SUM('㈱塩釜:牡鹿'!E13)</f>
        <v>7.8628</v>
      </c>
      <c r="F13" s="1">
        <f>SUM('㈱塩釜:牡鹿'!F13)</f>
        <v>12.3488</v>
      </c>
      <c r="G13" s="1">
        <f>SUM('㈱塩釜:牡鹿'!G13)</f>
        <v>12.7192</v>
      </c>
      <c r="H13" s="1">
        <f>SUM('㈱塩釜:牡鹿'!H13)</f>
        <v>58.456300000000006</v>
      </c>
      <c r="I13" s="1">
        <f>SUM('㈱塩釜:牡鹿'!I13)</f>
        <v>203.11900000000003</v>
      </c>
      <c r="J13" s="1">
        <f>SUM('㈱塩釜:牡鹿'!J13)</f>
        <v>14.3727</v>
      </c>
      <c r="K13" s="1">
        <f>SUM('㈱塩釜:牡鹿'!K13)</f>
        <v>61.08020000000001</v>
      </c>
      <c r="L13" s="1">
        <f>SUM('㈱塩釜:牡鹿'!L13)</f>
        <v>10.892600000000002</v>
      </c>
      <c r="M13" s="1">
        <f>SUM('㈱塩釜:牡鹿'!M13)</f>
        <v>9.6753</v>
      </c>
      <c r="N13" s="1">
        <f>SUM('㈱塩釜:牡鹿'!N13)</f>
        <v>8.8317</v>
      </c>
      <c r="O13" s="1">
        <f>SUM('㈱塩釜:牡鹿'!O13)</f>
        <v>20.980899999999995</v>
      </c>
      <c r="P13" s="8">
        <f>SUM('㈱塩釜:牡鹿'!P13)</f>
        <v>430.71129999999994</v>
      </c>
    </row>
    <row r="14" spans="1:16" ht="19.5" customHeight="1">
      <c r="A14" s="44" t="s">
        <v>0</v>
      </c>
      <c r="B14" s="383"/>
      <c r="C14" s="48" t="s">
        <v>18</v>
      </c>
      <c r="D14" s="2">
        <f>SUM('㈱塩釜:牡鹿'!D14)</f>
        <v>36099.59464756051</v>
      </c>
      <c r="E14" s="2">
        <f>SUM('㈱塩釜:牡鹿'!E14)</f>
        <v>24391.25865509881</v>
      </c>
      <c r="F14" s="2">
        <f>SUM('㈱塩釜:牡鹿'!F14)</f>
        <v>34789.58125045662</v>
      </c>
      <c r="G14" s="2">
        <f>SUM('㈱塩釜:牡鹿'!G14)</f>
        <v>36909.183951707935</v>
      </c>
      <c r="H14" s="2">
        <f>SUM('㈱塩釜:牡鹿'!H14)</f>
        <v>140450.09878010667</v>
      </c>
      <c r="I14" s="2">
        <f>SUM('㈱塩釜:牡鹿'!I14)</f>
        <v>163387.39480691063</v>
      </c>
      <c r="J14" s="2">
        <f>SUM('㈱塩釜:牡鹿'!J14)</f>
        <v>36852.96733648837</v>
      </c>
      <c r="K14" s="2">
        <f>SUM('㈱塩釜:牡鹿'!K14)</f>
        <v>128577.87206697829</v>
      </c>
      <c r="L14" s="2">
        <f>SUM('㈱塩釜:牡鹿'!L14)</f>
        <v>31407.630401624538</v>
      </c>
      <c r="M14" s="2">
        <f>SUM('㈱塩釜:牡鹿'!M14)</f>
        <v>29166.802541377656</v>
      </c>
      <c r="N14" s="2">
        <f>SUM('㈱塩釜:牡鹿'!N14)</f>
        <v>26511.522287535176</v>
      </c>
      <c r="O14" s="2">
        <f>SUM('㈱塩釜:牡鹿'!O14)</f>
        <v>71225.37381495132</v>
      </c>
      <c r="P14" s="9">
        <f>SUM('㈱塩釜:牡鹿'!P14)</f>
        <v>759769.2805407965</v>
      </c>
    </row>
    <row r="15" spans="1:16" ht="19.5" customHeight="1">
      <c r="A15" s="45" t="s">
        <v>27</v>
      </c>
      <c r="B15" s="382" t="s">
        <v>28</v>
      </c>
      <c r="C15" s="54" t="s">
        <v>16</v>
      </c>
      <c r="D15" s="1">
        <f>SUM('㈱塩釜:牡鹿'!D15)</f>
        <v>6.2912</v>
      </c>
      <c r="E15" s="1">
        <f>SUM('㈱塩釜:牡鹿'!E15)</f>
        <v>6.639600000000001</v>
      </c>
      <c r="F15" s="1">
        <f>SUM('㈱塩釜:牡鹿'!F15)</f>
        <v>4.9816</v>
      </c>
      <c r="G15" s="1">
        <f>SUM('㈱塩釜:牡鹿'!G15)</f>
        <v>5.4037</v>
      </c>
      <c r="H15" s="1">
        <f>SUM('㈱塩釜:牡鹿'!H15)</f>
        <v>24.6271</v>
      </c>
      <c r="I15" s="1">
        <f>SUM('㈱塩釜:牡鹿'!I15)</f>
        <v>57.4993</v>
      </c>
      <c r="J15" s="1">
        <f>SUM('㈱塩釜:牡鹿'!J15)</f>
        <v>11.753</v>
      </c>
      <c r="K15" s="1">
        <f>SUM('㈱塩釜:牡鹿'!K15)</f>
        <v>4.628100000000001</v>
      </c>
      <c r="L15" s="1">
        <f>SUM('㈱塩釜:牡鹿'!L15)</f>
        <v>1.8047</v>
      </c>
      <c r="M15" s="1">
        <f>SUM('㈱塩釜:牡鹿'!M15)</f>
        <v>4.8169</v>
      </c>
      <c r="N15" s="1">
        <f>SUM('㈱塩釜:牡鹿'!N15)</f>
        <v>2.8626000000000005</v>
      </c>
      <c r="O15" s="1">
        <f>SUM('㈱塩釜:牡鹿'!O15)</f>
        <v>1.5772999999999997</v>
      </c>
      <c r="P15" s="8">
        <f>SUM('㈱塩釜:牡鹿'!P15)</f>
        <v>132.88510000000002</v>
      </c>
    </row>
    <row r="16" spans="1:16" ht="19.5" customHeight="1">
      <c r="A16" s="45" t="s">
        <v>0</v>
      </c>
      <c r="B16" s="383"/>
      <c r="C16" s="48" t="s">
        <v>18</v>
      </c>
      <c r="D16" s="2">
        <f>SUM('㈱塩釜:牡鹿'!D16)</f>
        <v>7454.551412416376</v>
      </c>
      <c r="E16" s="2">
        <f>SUM('㈱塩釜:牡鹿'!E16)</f>
        <v>2695.803871941848</v>
      </c>
      <c r="F16" s="2">
        <f>SUM('㈱塩釜:牡鹿'!F16)</f>
        <v>2223.553860680692</v>
      </c>
      <c r="G16" s="2">
        <f>SUM('㈱塩釜:牡鹿'!G16)</f>
        <v>1880.5368151660105</v>
      </c>
      <c r="H16" s="2">
        <f>SUM('㈱塩釜:牡鹿'!H16)</f>
        <v>20859.53656874178</v>
      </c>
      <c r="I16" s="2">
        <f>SUM('㈱塩釜:牡鹿'!I16)</f>
        <v>51408.42605783792</v>
      </c>
      <c r="J16" s="2">
        <f>SUM('㈱塩釜:牡鹿'!J16)</f>
        <v>8076.056571626323</v>
      </c>
      <c r="K16" s="2">
        <f>SUM('㈱塩釜:牡鹿'!K16)</f>
        <v>4344.661470991813</v>
      </c>
      <c r="L16" s="2">
        <f>SUM('㈱塩釜:牡鹿'!L16)</f>
        <v>1833.0248352418732</v>
      </c>
      <c r="M16" s="2">
        <f>SUM('㈱塩釜:牡鹿'!M16)</f>
        <v>5001.5032782783655</v>
      </c>
      <c r="N16" s="2">
        <f>SUM('㈱塩釜:牡鹿'!N16)</f>
        <v>3194.259122371824</v>
      </c>
      <c r="O16" s="2">
        <f>SUM('㈱塩釜:牡鹿'!O16)</f>
        <v>2908.089238632856</v>
      </c>
      <c r="P16" s="9">
        <f>SUM('㈱塩釜:牡鹿'!P16)</f>
        <v>111880.00310392767</v>
      </c>
    </row>
    <row r="17" spans="1:16" ht="19.5" customHeight="1">
      <c r="A17" s="45" t="s">
        <v>29</v>
      </c>
      <c r="B17" s="382" t="s">
        <v>30</v>
      </c>
      <c r="C17" s="54" t="s">
        <v>16</v>
      </c>
      <c r="D17" s="1">
        <f>SUM('㈱塩釜:牡鹿'!D17)</f>
        <v>113.04975</v>
      </c>
      <c r="E17" s="1">
        <f>SUM('㈱塩釜:牡鹿'!E17)</f>
        <v>79.44014999999999</v>
      </c>
      <c r="F17" s="1">
        <f>SUM('㈱塩釜:牡鹿'!F17)</f>
        <v>102.33355</v>
      </c>
      <c r="G17" s="1">
        <f>SUM('㈱塩釜:牡鹿'!G17)</f>
        <v>170.59725</v>
      </c>
      <c r="H17" s="1">
        <f>SUM('㈱塩釜:牡鹿'!H17)</f>
        <v>141.6895</v>
      </c>
      <c r="I17" s="1">
        <f>SUM('㈱塩釜:牡鹿'!I17)</f>
        <v>302.40665</v>
      </c>
      <c r="J17" s="1">
        <f>SUM('㈱塩釜:牡鹿'!J17)</f>
        <v>978.0156999999998</v>
      </c>
      <c r="K17" s="1">
        <f>SUM('㈱塩釜:牡鹿'!K17)</f>
        <v>453.46105000000006</v>
      </c>
      <c r="L17" s="1">
        <f>SUM('㈱塩釜:牡鹿'!L17)</f>
        <v>569.2307500000002</v>
      </c>
      <c r="M17" s="1">
        <f>SUM('㈱塩釜:牡鹿'!M17)</f>
        <v>576.46835</v>
      </c>
      <c r="N17" s="1">
        <f>SUM('㈱塩釜:牡鹿'!N17)</f>
        <v>373.62514999999996</v>
      </c>
      <c r="O17" s="1">
        <f>SUM('㈱塩釜:牡鹿'!O17)</f>
        <v>235.58350000000002</v>
      </c>
      <c r="P17" s="8">
        <f>SUM('㈱塩釜:牡鹿'!P17)</f>
        <v>4095.90135</v>
      </c>
    </row>
    <row r="18" spans="1:16" ht="19.5" customHeight="1">
      <c r="A18" s="45"/>
      <c r="B18" s="383"/>
      <c r="C18" s="48" t="s">
        <v>18</v>
      </c>
      <c r="D18" s="2">
        <f>SUM('㈱塩釜:牡鹿'!D18)</f>
        <v>127755.07967094851</v>
      </c>
      <c r="E18" s="2">
        <f>SUM('㈱塩釜:牡鹿'!E18)</f>
        <v>92682.21305785686</v>
      </c>
      <c r="F18" s="2">
        <f>SUM('㈱塩釜:牡鹿'!F18)</f>
        <v>133590.35481774664</v>
      </c>
      <c r="G18" s="2">
        <f>SUM('㈱塩釜:牡鹿'!G18)</f>
        <v>193386.18633203825</v>
      </c>
      <c r="H18" s="2">
        <f>SUM('㈱塩釜:牡鹿'!H18)</f>
        <v>129799.87534509793</v>
      </c>
      <c r="I18" s="2">
        <f>SUM('㈱塩釜:牡鹿'!I18)</f>
        <v>142620.39076426683</v>
      </c>
      <c r="J18" s="2">
        <f>SUM('㈱塩釜:牡鹿'!J18)</f>
        <v>306058.2091292829</v>
      </c>
      <c r="K18" s="2">
        <f>SUM('㈱塩釜:牡鹿'!K18)</f>
        <v>265781.5417282358</v>
      </c>
      <c r="L18" s="2">
        <f>SUM('㈱塩釜:牡鹿'!L18)</f>
        <v>686710.966916887</v>
      </c>
      <c r="M18" s="2">
        <f>SUM('㈱塩釜:牡鹿'!M18)</f>
        <v>876138.7896046515</v>
      </c>
      <c r="N18" s="2">
        <f>SUM('㈱塩釜:牡鹿'!N18)</f>
        <v>504379.9782615566</v>
      </c>
      <c r="O18" s="2">
        <f>SUM('㈱塩釜:牡鹿'!O18)</f>
        <v>359831.0305926274</v>
      </c>
      <c r="P18" s="9">
        <f>SUM('㈱塩釜:牡鹿'!P18)</f>
        <v>3818734.616221196</v>
      </c>
    </row>
    <row r="19" spans="1:16" ht="19.5" customHeight="1">
      <c r="A19" s="45" t="s">
        <v>31</v>
      </c>
      <c r="B19" s="47" t="s">
        <v>108</v>
      </c>
      <c r="C19" s="54" t="s">
        <v>16</v>
      </c>
      <c r="D19" s="1">
        <f>SUM('㈱塩釜:牡鹿'!D19)</f>
        <v>37.4075</v>
      </c>
      <c r="E19" s="1">
        <f>SUM('㈱塩釜:牡鹿'!E19)</f>
        <v>42.4838</v>
      </c>
      <c r="F19" s="1">
        <f>SUM('㈱塩釜:牡鹿'!F19)</f>
        <v>21.822699999999998</v>
      </c>
      <c r="G19" s="1">
        <f>SUM('㈱塩釜:牡鹿'!G19)</f>
        <v>28.9684</v>
      </c>
      <c r="H19" s="1">
        <f>SUM('㈱塩釜:牡鹿'!H19)</f>
        <v>35.7768</v>
      </c>
      <c r="I19" s="1">
        <f>SUM('㈱塩釜:牡鹿'!I19)</f>
        <v>134.39180000000002</v>
      </c>
      <c r="J19" s="1">
        <f>SUM('㈱塩釜:牡鹿'!J19)</f>
        <v>414.5022</v>
      </c>
      <c r="K19" s="1">
        <f>SUM('㈱塩釜:牡鹿'!K19)</f>
        <v>150.3314</v>
      </c>
      <c r="L19" s="1">
        <f>SUM('㈱塩釜:牡鹿'!L19)</f>
        <v>355.84169999999995</v>
      </c>
      <c r="M19" s="1">
        <f>SUM('㈱塩釜:牡鹿'!M19)</f>
        <v>12.7666</v>
      </c>
      <c r="N19" s="1">
        <f>SUM('㈱塩釜:牡鹿'!N19)</f>
        <v>4.505999999999999</v>
      </c>
      <c r="O19" s="1">
        <f>SUM('㈱塩釜:牡鹿'!O19)</f>
        <v>6.8338</v>
      </c>
      <c r="P19" s="8">
        <f>SUM('㈱塩釜:牡鹿'!P19)</f>
        <v>1245.6327</v>
      </c>
    </row>
    <row r="20" spans="1:16" ht="19.5" customHeight="1">
      <c r="A20" s="45"/>
      <c r="B20" s="48" t="s">
        <v>109</v>
      </c>
      <c r="C20" s="48" t="s">
        <v>18</v>
      </c>
      <c r="D20" s="2">
        <f>SUM('㈱塩釜:牡鹿'!D20)</f>
        <v>29877.810001950536</v>
      </c>
      <c r="E20" s="2">
        <f>SUM('㈱塩釜:牡鹿'!E20)</f>
        <v>32070.026339176817</v>
      </c>
      <c r="F20" s="2">
        <f>SUM('㈱塩釜:牡鹿'!F20)</f>
        <v>16840.58067302128</v>
      </c>
      <c r="G20" s="2">
        <f>SUM('㈱塩釜:牡鹿'!G20)</f>
        <v>16302.280827205523</v>
      </c>
      <c r="H20" s="2">
        <f>SUM('㈱塩釜:牡鹿'!H20)</f>
        <v>20890.445769592694</v>
      </c>
      <c r="I20" s="2">
        <f>SUM('㈱塩釜:牡鹿'!I20)</f>
        <v>57777.87841041805</v>
      </c>
      <c r="J20" s="2">
        <f>SUM('㈱塩釜:牡鹿'!J20)</f>
        <v>139896.6393871086</v>
      </c>
      <c r="K20" s="2">
        <f>SUM('㈱塩釜:牡鹿'!K20)</f>
        <v>77573.5627106076</v>
      </c>
      <c r="L20" s="2">
        <f>SUM('㈱塩釜:牡鹿'!L20)</f>
        <v>224747.51834787798</v>
      </c>
      <c r="M20" s="2">
        <f>SUM('㈱塩釜:牡鹿'!M20)</f>
        <v>16305.557706776506</v>
      </c>
      <c r="N20" s="2">
        <f>SUM('㈱塩釜:牡鹿'!N20)</f>
        <v>5645.608628248177</v>
      </c>
      <c r="O20" s="2">
        <f>SUM('㈱塩釜:牡鹿'!O20)</f>
        <v>10558.04016152299</v>
      </c>
      <c r="P20" s="9">
        <f>SUM('㈱塩釜:牡鹿'!P20)</f>
        <v>648485.9489635067</v>
      </c>
    </row>
    <row r="21" spans="1:16" ht="19.5" customHeight="1">
      <c r="A21" s="45" t="s">
        <v>23</v>
      </c>
      <c r="B21" s="382" t="s">
        <v>32</v>
      </c>
      <c r="C21" s="54" t="s">
        <v>16</v>
      </c>
      <c r="D21" s="1">
        <f>SUM('㈱塩釜:牡鹿'!D21)</f>
        <v>271.353</v>
      </c>
      <c r="E21" s="1">
        <f>SUM('㈱塩釜:牡鹿'!E21)</f>
        <v>196.11445</v>
      </c>
      <c r="F21" s="1">
        <f>SUM('㈱塩釜:牡鹿'!F21)</f>
        <v>155.7534</v>
      </c>
      <c r="G21" s="1">
        <f>SUM('㈱塩釜:牡鹿'!G21)</f>
        <v>150.2246</v>
      </c>
      <c r="H21" s="1">
        <f>SUM('㈱塩釜:牡鹿'!H21)</f>
        <v>547.244</v>
      </c>
      <c r="I21" s="1">
        <f>SUM('㈱塩釜:牡鹿'!I21)</f>
        <v>1821.9499</v>
      </c>
      <c r="J21" s="1">
        <f>SUM('㈱塩釜:牡鹿'!J21)</f>
        <v>3554.207</v>
      </c>
      <c r="K21" s="1">
        <f>SUM('㈱塩釜:牡鹿'!K21)</f>
        <v>112.8474</v>
      </c>
      <c r="L21" s="1">
        <f>SUM('㈱塩釜:牡鹿'!L21)</f>
        <v>8.0512</v>
      </c>
      <c r="M21" s="1">
        <f>SUM('㈱塩釜:牡鹿'!M21)</f>
        <v>153.2416</v>
      </c>
      <c r="N21" s="1">
        <f>SUM('㈱塩釜:牡鹿'!N21)</f>
        <v>421.2911</v>
      </c>
      <c r="O21" s="1">
        <f>SUM('㈱塩釜:牡鹿'!O21)</f>
        <v>551.7578</v>
      </c>
      <c r="P21" s="8">
        <f>SUM('㈱塩釜:牡鹿'!P21)</f>
        <v>7944.035449999999</v>
      </c>
    </row>
    <row r="22" spans="1:16" ht="19.5" customHeight="1">
      <c r="A22" s="45"/>
      <c r="B22" s="383"/>
      <c r="C22" s="48" t="s">
        <v>18</v>
      </c>
      <c r="D22" s="2">
        <f>SUM('㈱塩釜:牡鹿'!D22)</f>
        <v>127524.40228721565</v>
      </c>
      <c r="E22" s="2">
        <f>SUM('㈱塩釜:牡鹿'!E22)</f>
        <v>111286.28753924492</v>
      </c>
      <c r="F22" s="2">
        <f>SUM('㈱塩釜:牡鹿'!F22)</f>
        <v>78809.92637811309</v>
      </c>
      <c r="G22" s="2">
        <f>SUM('㈱塩釜:牡鹿'!G22)</f>
        <v>57481.62690444687</v>
      </c>
      <c r="H22" s="2">
        <f>SUM('㈱塩釜:牡鹿'!H22)</f>
        <v>150675.459698633</v>
      </c>
      <c r="I22" s="2">
        <f>SUM('㈱塩釜:牡鹿'!I22)</f>
        <v>507397.96583399375</v>
      </c>
      <c r="J22" s="2">
        <f>SUM('㈱塩釜:牡鹿'!J22)</f>
        <v>1060871.9783614993</v>
      </c>
      <c r="K22" s="2">
        <f>SUM('㈱塩釜:牡鹿'!K22)</f>
        <v>44703.06199035726</v>
      </c>
      <c r="L22" s="2">
        <f>SUM('㈱塩釜:牡鹿'!L22)</f>
        <v>2893.6523892013306</v>
      </c>
      <c r="M22" s="2">
        <f>SUM('㈱塩釜:牡鹿'!M22)</f>
        <v>65781.7447020596</v>
      </c>
      <c r="N22" s="2">
        <f>SUM('㈱塩釜:牡鹿'!N22)</f>
        <v>142461.90934076536</v>
      </c>
      <c r="O22" s="2">
        <f>SUM('㈱塩釜:牡鹿'!O22)</f>
        <v>209424.71252833444</v>
      </c>
      <c r="P22" s="9">
        <f>SUM('㈱塩釜:牡鹿'!P22)</f>
        <v>2559312.7279538647</v>
      </c>
    </row>
    <row r="23" spans="1:16" ht="19.5" customHeight="1">
      <c r="A23" s="45"/>
      <c r="B23" s="380" t="s">
        <v>177</v>
      </c>
      <c r="C23" s="54" t="s">
        <v>16</v>
      </c>
      <c r="D23" s="1">
        <f>SUM('㈱塩釜:牡鹿'!D23)</f>
        <v>438.47325</v>
      </c>
      <c r="E23" s="1">
        <f>SUM('㈱塩釜:牡鹿'!E23)</f>
        <v>332.5408</v>
      </c>
      <c r="F23" s="1">
        <f>SUM('㈱塩釜:牡鹿'!F23)</f>
        <v>297.24005</v>
      </c>
      <c r="G23" s="1">
        <f>SUM('㈱塩釜:牡鹿'!G23)</f>
        <v>367.91315000000003</v>
      </c>
      <c r="H23" s="1">
        <f>SUM('㈱塩釜:牡鹿'!H23)</f>
        <v>807.7937</v>
      </c>
      <c r="I23" s="1">
        <f>SUM('㈱塩釜:牡鹿'!I23)</f>
        <v>2519.36665</v>
      </c>
      <c r="J23" s="1">
        <f>SUM('㈱塩釜:牡鹿'!J23)</f>
        <v>4972.850600000001</v>
      </c>
      <c r="K23" s="1">
        <f>SUM('㈱塩釜:牡鹿'!K23)</f>
        <v>782.3481499999999</v>
      </c>
      <c r="L23" s="1">
        <f>SUM('㈱塩釜:牡鹿'!L23)</f>
        <v>945.82095</v>
      </c>
      <c r="M23" s="1">
        <f>SUM('㈱塩釜:牡鹿'!M23)</f>
        <v>756.9687499999999</v>
      </c>
      <c r="N23" s="1">
        <f>SUM('㈱塩釜:牡鹿'!N23)</f>
        <v>811.1165499999998</v>
      </c>
      <c r="O23" s="1">
        <f>SUM('㈱塩釜:牡鹿'!O23)</f>
        <v>816.7333</v>
      </c>
      <c r="P23" s="8">
        <f>SUM('㈱塩釜:牡鹿'!P23)</f>
        <v>13849.165900000004</v>
      </c>
    </row>
    <row r="24" spans="1:16" ht="19.5" customHeight="1">
      <c r="A24" s="40"/>
      <c r="B24" s="381"/>
      <c r="C24" s="48" t="s">
        <v>18</v>
      </c>
      <c r="D24" s="2">
        <f>SUM('㈱塩釜:牡鹿'!D24)</f>
        <v>328711.43802009156</v>
      </c>
      <c r="E24" s="2">
        <f>SUM('㈱塩釜:牡鹿'!E24)</f>
        <v>263125.5894633192</v>
      </c>
      <c r="F24" s="2">
        <f>SUM('㈱塩釜:牡鹿'!F24)</f>
        <v>266253.99698001833</v>
      </c>
      <c r="G24" s="2">
        <f>SUM('㈱塩釜:牡鹿'!G24)</f>
        <v>305959.81483056454</v>
      </c>
      <c r="H24" s="2">
        <f>SUM('㈱塩釜:牡鹿'!H24)</f>
        <v>462675.41616217204</v>
      </c>
      <c r="I24" s="2">
        <f>SUM('㈱塩釜:牡鹿'!I24)</f>
        <v>922592.0558734274</v>
      </c>
      <c r="J24" s="2">
        <f>SUM('㈱塩釜:牡鹿'!J24)</f>
        <v>1551755.8507860056</v>
      </c>
      <c r="K24" s="2">
        <f>SUM('㈱塩釜:牡鹿'!K24)</f>
        <v>520980.6999671707</v>
      </c>
      <c r="L24" s="2">
        <f>SUM('㈱塩釜:牡鹿'!L24)</f>
        <v>947592.7928908326</v>
      </c>
      <c r="M24" s="2">
        <f>SUM('㈱塩釜:牡鹿'!M24)</f>
        <v>992394.3978331437</v>
      </c>
      <c r="N24" s="2">
        <f>SUM('㈱塩釜:牡鹿'!N24)</f>
        <v>682193.2776404772</v>
      </c>
      <c r="O24" s="2">
        <f>SUM('㈱塩釜:牡鹿'!O24)</f>
        <v>653947.246336069</v>
      </c>
      <c r="P24" s="9">
        <f>SUM('㈱塩釜:牡鹿'!P24)</f>
        <v>7898182.576783294</v>
      </c>
    </row>
    <row r="25" spans="1:16" ht="19.5" customHeight="1">
      <c r="A25" s="45" t="s">
        <v>0</v>
      </c>
      <c r="B25" s="382" t="s">
        <v>33</v>
      </c>
      <c r="C25" s="54" t="s">
        <v>16</v>
      </c>
      <c r="D25" s="1">
        <f>SUM('㈱塩釜:牡鹿'!D25)</f>
        <v>177.2229</v>
      </c>
      <c r="E25" s="1">
        <f>SUM('㈱塩釜:牡鹿'!E25)</f>
        <v>223.51500000000001</v>
      </c>
      <c r="F25" s="1">
        <f>SUM('㈱塩釜:牡鹿'!F25)</f>
        <v>133.9629</v>
      </c>
      <c r="G25" s="1">
        <f>SUM('㈱塩釜:牡鹿'!G25)</f>
        <v>191.01</v>
      </c>
      <c r="H25" s="1">
        <f>SUM('㈱塩釜:牡鹿'!H25)</f>
        <v>134.33565000000002</v>
      </c>
      <c r="I25" s="1">
        <f>SUM('㈱塩釜:牡鹿'!I25)</f>
        <v>103.6458</v>
      </c>
      <c r="J25" s="1">
        <f>SUM('㈱塩釜:牡鹿'!J25)</f>
        <v>146.70510000000002</v>
      </c>
      <c r="K25" s="1">
        <f>SUM('㈱塩釜:牡鹿'!K25)</f>
        <v>162.8297</v>
      </c>
      <c r="L25" s="1">
        <f>SUM('㈱塩釜:牡鹿'!L25)</f>
        <v>230.3265</v>
      </c>
      <c r="M25" s="1">
        <f>SUM('㈱塩釜:牡鹿'!M25)</f>
        <v>246.87699999999998</v>
      </c>
      <c r="N25" s="1">
        <f>SUM('㈱塩釜:牡鹿'!N25)</f>
        <v>357.88903</v>
      </c>
      <c r="O25" s="1">
        <f>SUM('㈱塩釜:牡鹿'!O25)</f>
        <v>395.90000000000003</v>
      </c>
      <c r="P25" s="8">
        <f>SUM('㈱塩釜:牡鹿'!P25)</f>
        <v>2504.21958</v>
      </c>
    </row>
    <row r="26" spans="1:16" ht="19.5" customHeight="1">
      <c r="A26" s="45" t="s">
        <v>34</v>
      </c>
      <c r="B26" s="383"/>
      <c r="C26" s="48" t="s">
        <v>18</v>
      </c>
      <c r="D26" s="2">
        <f>SUM('㈱塩釜:牡鹿'!D26)</f>
        <v>179553.415167815</v>
      </c>
      <c r="E26" s="2">
        <f>SUM('㈱塩釜:牡鹿'!E26)</f>
        <v>222000.03322373645</v>
      </c>
      <c r="F26" s="2">
        <f>SUM('㈱塩釜:牡鹿'!F26)</f>
        <v>155852.3317310811</v>
      </c>
      <c r="G26" s="2">
        <f>SUM('㈱塩釜:牡鹿'!G26)</f>
        <v>191144.71252487603</v>
      </c>
      <c r="H26" s="2">
        <f>SUM('㈱塩釜:牡鹿'!H26)</f>
        <v>134015.85102128098</v>
      </c>
      <c r="I26" s="2">
        <f>SUM('㈱塩釜:牡鹿'!I26)</f>
        <v>118544.08362076242</v>
      </c>
      <c r="J26" s="2">
        <f>SUM('㈱塩釜:牡鹿'!J26)</f>
        <v>147950.163398426</v>
      </c>
      <c r="K26" s="2">
        <f>SUM('㈱塩釜:牡鹿'!K26)</f>
        <v>171019.57479673135</v>
      </c>
      <c r="L26" s="2">
        <f>SUM('㈱塩釜:牡鹿'!L26)</f>
        <v>196733.9304536785</v>
      </c>
      <c r="M26" s="2">
        <f>SUM('㈱塩釜:牡鹿'!M26)</f>
        <v>231535.52634727192</v>
      </c>
      <c r="N26" s="2">
        <f>SUM('㈱塩釜:牡鹿'!N26)</f>
        <v>297022.6114015482</v>
      </c>
      <c r="O26" s="2">
        <f>SUM('㈱塩釜:牡鹿'!O26)</f>
        <v>336221.0433360868</v>
      </c>
      <c r="P26" s="9">
        <f>SUM('㈱塩釜:牡鹿'!P26)</f>
        <v>2381593.2770232945</v>
      </c>
    </row>
    <row r="27" spans="1:16" ht="19.5" customHeight="1">
      <c r="A27" s="45" t="s">
        <v>35</v>
      </c>
      <c r="B27" s="47" t="s">
        <v>20</v>
      </c>
      <c r="C27" s="54" t="s">
        <v>16</v>
      </c>
      <c r="D27" s="1">
        <f>SUM('㈱塩釜:牡鹿'!D27)</f>
        <v>18.8566</v>
      </c>
      <c r="E27" s="1">
        <f>SUM('㈱塩釜:牡鹿'!E27)</f>
        <v>10.9222</v>
      </c>
      <c r="F27" s="1">
        <f>SUM('㈱塩釜:牡鹿'!F27)</f>
        <v>25.066499999999998</v>
      </c>
      <c r="G27" s="1">
        <f>SUM('㈱塩釜:牡鹿'!G27)</f>
        <v>24.048199999999998</v>
      </c>
      <c r="H27" s="1">
        <f>SUM('㈱塩釜:牡鹿'!H27)</f>
        <v>28.3536</v>
      </c>
      <c r="I27" s="1">
        <f>SUM('㈱塩釜:牡鹿'!I27)</f>
        <v>44.8285</v>
      </c>
      <c r="J27" s="1">
        <f>SUM('㈱塩釜:牡鹿'!J27)</f>
        <v>86.1124</v>
      </c>
      <c r="K27" s="1">
        <f>SUM('㈱塩釜:牡鹿'!K27)</f>
        <v>33.6758</v>
      </c>
      <c r="L27" s="1">
        <f>SUM('㈱塩釜:牡鹿'!L27)</f>
        <v>64.3103</v>
      </c>
      <c r="M27" s="1">
        <f>SUM('㈱塩釜:牡鹿'!M27)</f>
        <v>101.04220000000001</v>
      </c>
      <c r="N27" s="1">
        <f>SUM('㈱塩釜:牡鹿'!N27)</f>
        <v>37.046800000000005</v>
      </c>
      <c r="O27" s="1">
        <f>SUM('㈱塩釜:牡鹿'!O27)</f>
        <v>9.7212</v>
      </c>
      <c r="P27" s="8">
        <f>SUM('㈱塩釜:牡鹿'!P27)</f>
        <v>483.98429999999996</v>
      </c>
    </row>
    <row r="28" spans="1:16" ht="19.5" customHeight="1">
      <c r="A28" s="45" t="s">
        <v>36</v>
      </c>
      <c r="B28" s="48" t="s">
        <v>110</v>
      </c>
      <c r="C28" s="48" t="s">
        <v>18</v>
      </c>
      <c r="D28" s="2">
        <f>SUM('㈱塩釜:牡鹿'!D28)</f>
        <v>8249.254313165002</v>
      </c>
      <c r="E28" s="2">
        <f>SUM('㈱塩釜:牡鹿'!E28)</f>
        <v>3814.2602975005852</v>
      </c>
      <c r="F28" s="2">
        <f>SUM('㈱塩釜:牡鹿'!F28)</f>
        <v>14716.515353035045</v>
      </c>
      <c r="G28" s="2">
        <f>SUM('㈱塩釜:牡鹿'!G28)</f>
        <v>11150.813138272088</v>
      </c>
      <c r="H28" s="2">
        <f>SUM('㈱塩釜:牡鹿'!H28)</f>
        <v>10983.0050384356</v>
      </c>
      <c r="I28" s="2">
        <f>SUM('㈱塩釜:牡鹿'!I28)</f>
        <v>14051.882412030638</v>
      </c>
      <c r="J28" s="2">
        <f>SUM('㈱塩釜:牡鹿'!J28)</f>
        <v>23866.066593332547</v>
      </c>
      <c r="K28" s="2">
        <f>SUM('㈱塩釜:牡鹿'!K28)</f>
        <v>13776.750593469524</v>
      </c>
      <c r="L28" s="2">
        <f>SUM('㈱塩釜:牡鹿'!L28)</f>
        <v>27017.964044307366</v>
      </c>
      <c r="M28" s="2">
        <f>SUM('㈱塩釜:牡鹿'!M28)</f>
        <v>43279.36586664163</v>
      </c>
      <c r="N28" s="2">
        <f>SUM('㈱塩釜:牡鹿'!N28)</f>
        <v>18864.0140609242</v>
      </c>
      <c r="O28" s="2">
        <f>SUM('㈱塩釜:牡鹿'!O28)</f>
        <v>8303.664780154322</v>
      </c>
      <c r="P28" s="9">
        <f>SUM('㈱塩釜:牡鹿'!P28)</f>
        <v>198073.5564912685</v>
      </c>
    </row>
    <row r="29" spans="1:16" ht="19.5" customHeight="1">
      <c r="A29" s="45" t="s">
        <v>23</v>
      </c>
      <c r="B29" s="380" t="s">
        <v>194</v>
      </c>
      <c r="C29" s="54" t="s">
        <v>16</v>
      </c>
      <c r="D29" s="1">
        <f>SUM('㈱塩釜:牡鹿'!D29)</f>
        <v>196.0795</v>
      </c>
      <c r="E29" s="1">
        <f>SUM('㈱塩釜:牡鹿'!E29)</f>
        <v>234.43720000000002</v>
      </c>
      <c r="F29" s="1">
        <f>SUM('㈱塩釜:牡鹿'!F29)</f>
        <v>159.0294</v>
      </c>
      <c r="G29" s="1">
        <f>SUM('㈱塩釜:牡鹿'!G29)</f>
        <v>215.0582</v>
      </c>
      <c r="H29" s="1">
        <f>SUM('㈱塩釜:牡鹿'!H29)</f>
        <v>162.68925000000002</v>
      </c>
      <c r="I29" s="1">
        <f>SUM('㈱塩釜:牡鹿'!I29)</f>
        <v>148.4743</v>
      </c>
      <c r="J29" s="1">
        <f>SUM('㈱塩釜:牡鹿'!J29)</f>
        <v>232.8175</v>
      </c>
      <c r="K29" s="1">
        <f>SUM('㈱塩釜:牡鹿'!K29)</f>
        <v>196.5055</v>
      </c>
      <c r="L29" s="1">
        <f>SUM('㈱塩釜:牡鹿'!L29)</f>
        <v>294.6368</v>
      </c>
      <c r="M29" s="1">
        <f>SUM('㈱塩釜:牡鹿'!M29)</f>
        <v>347.91920000000005</v>
      </c>
      <c r="N29" s="1">
        <f>SUM('㈱塩釜:牡鹿'!N29)</f>
        <v>394.93582999999995</v>
      </c>
      <c r="O29" s="1">
        <f>SUM('㈱塩釜:牡鹿'!O29)</f>
        <v>405.6212</v>
      </c>
      <c r="P29" s="8">
        <f>SUM('㈱塩釜:牡鹿'!P29)</f>
        <v>2988.2038800000005</v>
      </c>
    </row>
    <row r="30" spans="1:16" ht="19.5" customHeight="1">
      <c r="A30" s="40"/>
      <c r="B30" s="381"/>
      <c r="C30" s="48" t="s">
        <v>18</v>
      </c>
      <c r="D30" s="2">
        <f>SUM('㈱塩釜:牡鹿'!D30)</f>
        <v>187802.66948098</v>
      </c>
      <c r="E30" s="2">
        <f>SUM('㈱塩釜:牡鹿'!E30)</f>
        <v>225814.29352123706</v>
      </c>
      <c r="F30" s="2">
        <f>SUM('㈱塩釜:牡鹿'!F30)</f>
        <v>170568.84708411613</v>
      </c>
      <c r="G30" s="2">
        <f>SUM('㈱塩釜:牡鹿'!G30)</f>
        <v>202295.52566314812</v>
      </c>
      <c r="H30" s="2">
        <f>SUM('㈱塩釜:牡鹿'!H30)</f>
        <v>144998.85605971658</v>
      </c>
      <c r="I30" s="2">
        <f>SUM('㈱塩釜:牡鹿'!I30)</f>
        <v>132595.96603279308</v>
      </c>
      <c r="J30" s="2">
        <f>SUM('㈱塩釜:牡鹿'!J30)</f>
        <v>171816.22999175853</v>
      </c>
      <c r="K30" s="2">
        <f>SUM('㈱塩釜:牡鹿'!K30)</f>
        <v>184796.32539020092</v>
      </c>
      <c r="L30" s="2">
        <f>SUM('㈱塩釜:牡鹿'!L30)</f>
        <v>223751.89449798586</v>
      </c>
      <c r="M30" s="2">
        <f>SUM('㈱塩釜:牡鹿'!M30)</f>
        <v>274814.89221391355</v>
      </c>
      <c r="N30" s="2">
        <f>SUM('㈱塩釜:牡鹿'!N30)</f>
        <v>315886.6254624723</v>
      </c>
      <c r="O30" s="2">
        <f>SUM('㈱塩釜:牡鹿'!O30)</f>
        <v>344524.70811624115</v>
      </c>
      <c r="P30" s="9">
        <f>SUM('㈱塩釜:牡鹿'!P30)</f>
        <v>2579666.8335145637</v>
      </c>
    </row>
    <row r="31" spans="1:16" ht="19.5" customHeight="1">
      <c r="A31" s="45" t="s">
        <v>0</v>
      </c>
      <c r="B31" s="382" t="s">
        <v>37</v>
      </c>
      <c r="C31" s="54" t="s">
        <v>16</v>
      </c>
      <c r="D31" s="1">
        <f>SUM('㈱塩釜:牡鹿'!D31)</f>
        <v>1748.3097000000002</v>
      </c>
      <c r="E31" s="1">
        <f>SUM('㈱塩釜:牡鹿'!E31)</f>
        <v>506.2769799999999</v>
      </c>
      <c r="F31" s="1">
        <f>SUM('㈱塩釜:牡鹿'!F31)</f>
        <v>287.04760000000005</v>
      </c>
      <c r="G31" s="1">
        <f>SUM('㈱塩釜:牡鹿'!G31)</f>
        <v>828.9318</v>
      </c>
      <c r="H31" s="1">
        <f>SUM('㈱塩釜:牡鹿'!H31)</f>
        <v>856.1437</v>
      </c>
      <c r="I31" s="1">
        <f>SUM('㈱塩釜:牡鹿'!I31)</f>
        <v>1542.0399999999997</v>
      </c>
      <c r="J31" s="1">
        <f>SUM('㈱塩釜:牡鹿'!J31)</f>
        <v>484.49839999999995</v>
      </c>
      <c r="K31" s="1">
        <f>SUM('㈱塩釜:牡鹿'!K31)</f>
        <v>575.4306</v>
      </c>
      <c r="L31" s="1">
        <f>SUM('㈱塩釜:牡鹿'!L31)</f>
        <v>966.7461000000001</v>
      </c>
      <c r="M31" s="1">
        <f>SUM('㈱塩釜:牡鹿'!M31)</f>
        <v>452.904</v>
      </c>
      <c r="N31" s="1">
        <f>SUM('㈱塩釜:牡鹿'!N31)</f>
        <v>435.02590000000004</v>
      </c>
      <c r="O31" s="1">
        <f>SUM('㈱塩釜:牡鹿'!O31)</f>
        <v>782.7206</v>
      </c>
      <c r="P31" s="8">
        <f>SUM('㈱塩釜:牡鹿'!P31)</f>
        <v>9466.075379999998</v>
      </c>
    </row>
    <row r="32" spans="1:16" ht="19.5" customHeight="1">
      <c r="A32" s="45" t="s">
        <v>38</v>
      </c>
      <c r="B32" s="383"/>
      <c r="C32" s="48" t="s">
        <v>18</v>
      </c>
      <c r="D32" s="2">
        <f>SUM('㈱塩釜:牡鹿'!D32)</f>
        <v>276176.9059039967</v>
      </c>
      <c r="E32" s="2">
        <f>SUM('㈱塩釜:牡鹿'!E32)</f>
        <v>98291.48282540328</v>
      </c>
      <c r="F32" s="2">
        <f>SUM('㈱塩釜:牡鹿'!F32)</f>
        <v>54313.901643646364</v>
      </c>
      <c r="G32" s="2">
        <f>SUM('㈱塩釜:牡鹿'!G32)</f>
        <v>175106.91895293546</v>
      </c>
      <c r="H32" s="2">
        <f>SUM('㈱塩釜:牡鹿'!H32)</f>
        <v>138907.3318805615</v>
      </c>
      <c r="I32" s="2">
        <f>SUM('㈱塩釜:牡鹿'!I32)</f>
        <v>177224.5723200892</v>
      </c>
      <c r="J32" s="2">
        <f>SUM('㈱塩釜:牡鹿'!J32)</f>
        <v>98752.40679999493</v>
      </c>
      <c r="K32" s="2">
        <f>SUM('㈱塩釜:牡鹿'!K32)</f>
        <v>125352.382</v>
      </c>
      <c r="L32" s="2">
        <f>SUM('㈱塩釜:牡鹿'!L32)</f>
        <v>165010.24899990662</v>
      </c>
      <c r="M32" s="2">
        <f>SUM('㈱塩釜:牡鹿'!M32)</f>
        <v>151589.97600000002</v>
      </c>
      <c r="N32" s="2">
        <f>SUM('㈱塩釜:牡鹿'!N32)</f>
        <v>155023.38520003695</v>
      </c>
      <c r="O32" s="2">
        <f>SUM('㈱塩釜:牡鹿'!O32)</f>
        <v>318756.5667116705</v>
      </c>
      <c r="P32" s="9">
        <f>SUM('㈱塩釜:牡鹿'!P32)</f>
        <v>1934506.0792382415</v>
      </c>
    </row>
    <row r="33" spans="1:16" ht="19.5" customHeight="1">
      <c r="A33" s="45" t="s">
        <v>0</v>
      </c>
      <c r="B33" s="382" t="s">
        <v>39</v>
      </c>
      <c r="C33" s="54" t="s">
        <v>16</v>
      </c>
      <c r="D33" s="1">
        <f>SUM('㈱塩釜:牡鹿'!D33)</f>
        <v>149.22039999999998</v>
      </c>
      <c r="E33" s="1">
        <f>SUM('㈱塩釜:牡鹿'!E33)</f>
        <v>300.06780000000003</v>
      </c>
      <c r="F33" s="1">
        <f>SUM('㈱塩釜:牡鹿'!F33)</f>
        <v>608.6360000000001</v>
      </c>
      <c r="G33" s="1">
        <f>SUM('㈱塩釜:牡鹿'!G33)</f>
        <v>1275.5663000000002</v>
      </c>
      <c r="H33" s="1">
        <f>SUM('㈱塩釜:牡鹿'!H33)</f>
        <v>1541.1002</v>
      </c>
      <c r="I33" s="1">
        <f>SUM('㈱塩釜:牡鹿'!I33)</f>
        <v>275.3535</v>
      </c>
      <c r="J33" s="1">
        <f>SUM('㈱塩釜:牡鹿'!J33)</f>
        <v>21.131999999999998</v>
      </c>
      <c r="K33" s="1">
        <f>SUM('㈱塩釜:牡鹿'!K33)</f>
        <v>21.2078</v>
      </c>
      <c r="L33" s="1">
        <f>SUM('㈱塩釜:牡鹿'!L33)</f>
        <v>13.3587</v>
      </c>
      <c r="M33" s="1">
        <f>SUM('㈱塩釜:牡鹿'!M33)</f>
        <v>14.1861</v>
      </c>
      <c r="N33" s="1">
        <f>SUM('㈱塩釜:牡鹿'!N33)</f>
        <v>16.8979</v>
      </c>
      <c r="O33" s="1">
        <f>SUM('㈱塩釜:牡鹿'!O33)</f>
        <v>96.4213</v>
      </c>
      <c r="P33" s="8">
        <f>SUM('㈱塩釜:牡鹿'!P33)</f>
        <v>4333.147999999999</v>
      </c>
    </row>
    <row r="34" spans="1:16" ht="19.5" customHeight="1">
      <c r="A34" s="45" t="s">
        <v>40</v>
      </c>
      <c r="B34" s="383"/>
      <c r="C34" s="48" t="s">
        <v>18</v>
      </c>
      <c r="D34" s="2">
        <f>SUM('㈱塩釜:牡鹿'!D34)</f>
        <v>11140.913013214753</v>
      </c>
      <c r="E34" s="2">
        <f>SUM('㈱塩釜:牡鹿'!E34)</f>
        <v>22328.244732533003</v>
      </c>
      <c r="F34" s="2">
        <f>SUM('㈱塩釜:牡鹿'!F34)</f>
        <v>45320.52175292183</v>
      </c>
      <c r="G34" s="2">
        <f>SUM('㈱塩釜:牡鹿'!G34)</f>
        <v>94082.19927965723</v>
      </c>
      <c r="H34" s="2">
        <f>SUM('㈱塩釜:牡鹿'!H34)</f>
        <v>108394.16348011799</v>
      </c>
      <c r="I34" s="2">
        <f>SUM('㈱塩釜:牡鹿'!I34)</f>
        <v>19820.616000029215</v>
      </c>
      <c r="J34" s="2">
        <f>SUM('㈱塩釜:牡鹿'!J34)</f>
        <v>4026.897</v>
      </c>
      <c r="K34" s="2">
        <f>SUM('㈱塩釜:牡鹿'!K34)</f>
        <v>2087.603</v>
      </c>
      <c r="L34" s="2">
        <f>SUM('㈱塩釜:牡鹿'!L34)</f>
        <v>2018.8239999859718</v>
      </c>
      <c r="M34" s="2">
        <f>SUM('㈱塩釜:牡鹿'!M34)</f>
        <v>2955.906</v>
      </c>
      <c r="N34" s="2">
        <f>SUM('㈱塩釜:牡鹿'!N34)</f>
        <v>4371.364000042982</v>
      </c>
      <c r="O34" s="2">
        <f>SUM('㈱塩釜:牡鹿'!O34)</f>
        <v>9280.235599593698</v>
      </c>
      <c r="P34" s="9">
        <f>SUM('㈱塩釜:牡鹿'!P34)</f>
        <v>325827.4878580967</v>
      </c>
    </row>
    <row r="35" spans="1:16" ht="19.5" customHeight="1">
      <c r="A35" s="45"/>
      <c r="B35" s="47" t="s">
        <v>20</v>
      </c>
      <c r="C35" s="54" t="s">
        <v>16</v>
      </c>
      <c r="D35" s="1">
        <f>SUM('㈱塩釜:牡鹿'!D35)</f>
        <v>755.1852</v>
      </c>
      <c r="E35" s="1">
        <f>SUM('㈱塩釜:牡鹿'!E35)</f>
        <v>861.1431</v>
      </c>
      <c r="F35" s="1">
        <f>SUM('㈱塩釜:牡鹿'!F35)</f>
        <v>1282.783</v>
      </c>
      <c r="G35" s="1">
        <f>SUM('㈱塩釜:牡鹿'!G35)</f>
        <v>994.8499</v>
      </c>
      <c r="H35" s="1">
        <f>SUM('㈱塩釜:牡鹿'!H35)</f>
        <v>731.1442000000001</v>
      </c>
      <c r="I35" s="1">
        <f>SUM('㈱塩釜:牡鹿'!I35)</f>
        <v>785.4698</v>
      </c>
      <c r="J35" s="1">
        <f>SUM('㈱塩釜:牡鹿'!J35)</f>
        <v>8.831</v>
      </c>
      <c r="K35" s="1">
        <f>SUM('㈱塩釜:牡鹿'!K35)</f>
        <v>0.9902</v>
      </c>
      <c r="L35" s="1">
        <f>SUM('㈱塩釜:牡鹿'!L35)</f>
        <v>357.289</v>
      </c>
      <c r="M35" s="1">
        <f>SUM('㈱塩釜:牡鹿'!M35)</f>
        <v>344.9917</v>
      </c>
      <c r="N35" s="1">
        <f>SUM('㈱塩釜:牡鹿'!N35)</f>
        <v>97.2106</v>
      </c>
      <c r="O35" s="1">
        <f>SUM('㈱塩釜:牡鹿'!O35)</f>
        <v>211.20890000000003</v>
      </c>
      <c r="P35" s="8">
        <f>SUM('㈱塩釜:牡鹿'!P35)</f>
        <v>6431.0966</v>
      </c>
    </row>
    <row r="36" spans="1:16" ht="19.5" customHeight="1">
      <c r="A36" s="45" t="s">
        <v>23</v>
      </c>
      <c r="B36" s="48" t="s">
        <v>111</v>
      </c>
      <c r="C36" s="48" t="s">
        <v>18</v>
      </c>
      <c r="D36" s="2">
        <f>SUM('㈱塩釜:牡鹿'!D36)</f>
        <v>99269.94999999998</v>
      </c>
      <c r="E36" s="2">
        <f>SUM('㈱塩釜:牡鹿'!E36)</f>
        <v>113734.444</v>
      </c>
      <c r="F36" s="2">
        <f>SUM('㈱塩釜:牡鹿'!F36)</f>
        <v>196891.71099999998</v>
      </c>
      <c r="G36" s="2">
        <f>SUM('㈱塩釜:牡鹿'!G36)</f>
        <v>78291.909</v>
      </c>
      <c r="H36" s="2">
        <f>SUM('㈱塩釜:牡鹿'!H36)</f>
        <v>43339.020000000004</v>
      </c>
      <c r="I36" s="2">
        <f>SUM('㈱塩釜:牡鹿'!I36)</f>
        <v>44586.845</v>
      </c>
      <c r="J36" s="2">
        <f>SUM('㈱塩釜:牡鹿'!J36)</f>
        <v>592.064</v>
      </c>
      <c r="K36" s="2">
        <f>SUM('㈱塩釜:牡鹿'!K36)</f>
        <v>42.294</v>
      </c>
      <c r="L36" s="2">
        <f>SUM('㈱塩釜:牡鹿'!L36)</f>
        <v>19028.792</v>
      </c>
      <c r="M36" s="2">
        <f>SUM('㈱塩釜:牡鹿'!M36)</f>
        <v>22205.67</v>
      </c>
      <c r="N36" s="2">
        <f>SUM('㈱塩釜:牡鹿'!N36)</f>
        <v>8005.413</v>
      </c>
      <c r="O36" s="2">
        <f>SUM('㈱塩釜:牡鹿'!O36)</f>
        <v>17913.49</v>
      </c>
      <c r="P36" s="9">
        <f>SUM('㈱塩釜:牡鹿'!P36)</f>
        <v>643901.6019999998</v>
      </c>
    </row>
    <row r="37" spans="1:16" ht="19.5" customHeight="1">
      <c r="A37" s="50"/>
      <c r="B37" s="380" t="s">
        <v>177</v>
      </c>
      <c r="C37" s="54" t="s">
        <v>16</v>
      </c>
      <c r="D37" s="1">
        <f>SUM('㈱塩釜:牡鹿'!D37)</f>
        <v>2652.7153000000003</v>
      </c>
      <c r="E37" s="1">
        <f>SUM('㈱塩釜:牡鹿'!E37)</f>
        <v>1667.48788</v>
      </c>
      <c r="F37" s="1">
        <f>SUM('㈱塩釜:牡鹿'!F37)</f>
        <v>2178.4665999999997</v>
      </c>
      <c r="G37" s="1">
        <f>SUM('㈱塩釜:牡鹿'!G37)</f>
        <v>3099.3479999999995</v>
      </c>
      <c r="H37" s="1">
        <f>SUM('㈱塩釜:牡鹿'!H37)</f>
        <v>3128.3881</v>
      </c>
      <c r="I37" s="1">
        <f>SUM('㈱塩釜:牡鹿'!I37)</f>
        <v>2602.8633</v>
      </c>
      <c r="J37" s="1">
        <f>SUM('㈱塩釜:牡鹿'!J37)</f>
        <v>514.4613999999999</v>
      </c>
      <c r="K37" s="1">
        <f>SUM('㈱塩釜:牡鹿'!K37)</f>
        <v>597.6286000000001</v>
      </c>
      <c r="L37" s="1">
        <f>SUM('㈱塩釜:牡鹿'!L37)</f>
        <v>1337.3938</v>
      </c>
      <c r="M37" s="1">
        <f>SUM('㈱塩釜:牡鹿'!M37)</f>
        <v>812.0817999999999</v>
      </c>
      <c r="N37" s="1">
        <f>SUM('㈱塩釜:牡鹿'!N37)</f>
        <v>549.1344</v>
      </c>
      <c r="O37" s="1">
        <f>SUM('㈱塩釜:牡鹿'!O37)</f>
        <v>1090.3508000000002</v>
      </c>
      <c r="P37" s="8">
        <f>SUM('㈱塩釜:牡鹿'!P37)</f>
        <v>20230.31998</v>
      </c>
    </row>
    <row r="38" spans="1:16" ht="19.5" customHeight="1">
      <c r="A38" s="49"/>
      <c r="B38" s="381"/>
      <c r="C38" s="48" t="s">
        <v>18</v>
      </c>
      <c r="D38" s="2">
        <f>SUM('㈱塩釜:牡鹿'!D38)</f>
        <v>386587.7689172114</v>
      </c>
      <c r="E38" s="2">
        <f>SUM('㈱塩釜:牡鹿'!E38)</f>
        <v>234354.17155793624</v>
      </c>
      <c r="F38" s="2">
        <f>SUM('㈱塩釜:牡鹿'!F38)</f>
        <v>296526.13439656823</v>
      </c>
      <c r="G38" s="2">
        <f>SUM('㈱塩釜:牡鹿'!G38)</f>
        <v>347481.0272325927</v>
      </c>
      <c r="H38" s="2">
        <f>SUM('㈱塩釜:牡鹿'!H38)</f>
        <v>290640.5153606794</v>
      </c>
      <c r="I38" s="2">
        <f>SUM('㈱塩釜:牡鹿'!I38)</f>
        <v>241632.0333201184</v>
      </c>
      <c r="J38" s="2">
        <f>SUM('㈱塩釜:牡鹿'!J38)</f>
        <v>103371.36779999493</v>
      </c>
      <c r="K38" s="2">
        <f>SUM('㈱塩釜:牡鹿'!K38)</f>
        <v>127482.27899999998</v>
      </c>
      <c r="L38" s="2">
        <f>SUM('㈱塩釜:牡鹿'!L38)</f>
        <v>186057.8649998926</v>
      </c>
      <c r="M38" s="2">
        <f>SUM('㈱塩釜:牡鹿'!M38)</f>
        <v>176751.552</v>
      </c>
      <c r="N38" s="2">
        <f>SUM('㈱塩釜:牡鹿'!N38)</f>
        <v>167400.16220007994</v>
      </c>
      <c r="O38" s="2">
        <f>SUM('㈱塩釜:牡鹿'!O38)</f>
        <v>345950.29231126414</v>
      </c>
      <c r="P38" s="9">
        <f>SUM('㈱塩釜:牡鹿'!P38)</f>
        <v>2904235.169096338</v>
      </c>
    </row>
    <row r="39" spans="1:16" ht="19.5" customHeight="1">
      <c r="A39" s="376" t="s">
        <v>199</v>
      </c>
      <c r="B39" s="377"/>
      <c r="C39" s="54" t="s">
        <v>16</v>
      </c>
      <c r="D39" s="1">
        <f>SUM('㈱塩釜:牡鹿'!D39)</f>
        <v>23.422600000000003</v>
      </c>
      <c r="E39" s="1">
        <f>SUM('㈱塩釜:牡鹿'!E39)</f>
        <v>113.578</v>
      </c>
      <c r="F39" s="1">
        <f>SUM('㈱塩釜:牡鹿'!F39)</f>
        <v>0.3083</v>
      </c>
      <c r="G39" s="1">
        <f>SUM('㈱塩釜:牡鹿'!G39)</f>
        <v>0.4469</v>
      </c>
      <c r="H39" s="1">
        <f>SUM('㈱塩釜:牡鹿'!H39)</f>
        <v>1.5031999999999999</v>
      </c>
      <c r="I39" s="1">
        <f>SUM('㈱塩釜:牡鹿'!I39)</f>
        <v>130.81889999999999</v>
      </c>
      <c r="J39" s="1">
        <f>SUM('㈱塩釜:牡鹿'!J39)</f>
        <v>161.5435</v>
      </c>
      <c r="K39" s="1">
        <f>SUM('㈱塩釜:牡鹿'!K39)</f>
        <v>500.38169999999997</v>
      </c>
      <c r="L39" s="1">
        <f>SUM('㈱塩釜:牡鹿'!L39)</f>
        <v>189.0208</v>
      </c>
      <c r="M39" s="1">
        <f>SUM('㈱塩釜:牡鹿'!M39)</f>
        <v>35.77609999999999</v>
      </c>
      <c r="N39" s="1">
        <f>SUM('㈱塩釜:牡鹿'!N39)</f>
        <v>38.303399999999996</v>
      </c>
      <c r="O39" s="1">
        <f>SUM('㈱塩釜:牡鹿'!O39)</f>
        <v>7.5577</v>
      </c>
      <c r="P39" s="8">
        <f>SUM('㈱塩釜:牡鹿'!P39)</f>
        <v>1202.6611</v>
      </c>
    </row>
    <row r="40" spans="1:16" ht="19.5" customHeight="1">
      <c r="A40" s="378"/>
      <c r="B40" s="379"/>
      <c r="C40" s="48" t="s">
        <v>18</v>
      </c>
      <c r="D40" s="2">
        <f>SUM('㈱塩釜:牡鹿'!D40)</f>
        <v>1463.0560223753325</v>
      </c>
      <c r="E40" s="2">
        <f>SUM('㈱塩釜:牡鹿'!E40)</f>
        <v>6155.105807554828</v>
      </c>
      <c r="F40" s="2">
        <f>SUM('㈱塩釜:牡鹿'!F40)</f>
        <v>267.69327656048887</v>
      </c>
      <c r="G40" s="2">
        <f>SUM('㈱塩釜:牡鹿'!G40)</f>
        <v>385.97579785028483</v>
      </c>
      <c r="H40" s="2">
        <f>SUM('㈱塩釜:牡鹿'!H40)</f>
        <v>908.0458016063168</v>
      </c>
      <c r="I40" s="2">
        <f>SUM('㈱塩釜:牡鹿'!I40)</f>
        <v>38873.38000293164</v>
      </c>
      <c r="J40" s="2">
        <f>SUM('㈱塩釜:牡鹿'!J40)</f>
        <v>84021.9349995839</v>
      </c>
      <c r="K40" s="2">
        <f>SUM('㈱塩釜:牡鹿'!K40)</f>
        <v>227795.70819900284</v>
      </c>
      <c r="L40" s="2">
        <f>SUM('㈱塩釜:牡鹿'!L40)</f>
        <v>81291.71719881234</v>
      </c>
      <c r="M40" s="2">
        <f>SUM('㈱塩釜:牡鹿'!M40)</f>
        <v>15836.617999394426</v>
      </c>
      <c r="N40" s="2">
        <f>SUM('㈱塩釜:牡鹿'!N40)</f>
        <v>12102.808000916984</v>
      </c>
      <c r="O40" s="2">
        <f>SUM('㈱塩釜:牡鹿'!O40)</f>
        <v>3567.976999095354</v>
      </c>
      <c r="P40" s="9">
        <f>SUM('㈱塩釜:牡鹿'!P40)</f>
        <v>472670.02010568476</v>
      </c>
    </row>
    <row r="41" spans="1:16" ht="19.5" customHeight="1">
      <c r="A41" s="376" t="s">
        <v>200</v>
      </c>
      <c r="B41" s="377"/>
      <c r="C41" s="54" t="s">
        <v>16</v>
      </c>
      <c r="D41" s="1">
        <f>SUM('㈱塩釜:牡鹿'!D41)</f>
        <v>13.246500000000001</v>
      </c>
      <c r="E41" s="1">
        <f>SUM('㈱塩釜:牡鹿'!E41)</f>
        <v>1.7958999999999998</v>
      </c>
      <c r="F41" s="1">
        <f>SUM('㈱塩釜:牡鹿'!F41)</f>
        <v>2.4692</v>
      </c>
      <c r="G41" s="1">
        <f>SUM('㈱塩釜:牡鹿'!G41)</f>
        <v>1.3717000000000001</v>
      </c>
      <c r="H41" s="1">
        <f>SUM('㈱塩釜:牡鹿'!H41)</f>
        <v>64.7263</v>
      </c>
      <c r="I41" s="1">
        <f>SUM('㈱塩釜:牡鹿'!I41)</f>
        <v>432.64</v>
      </c>
      <c r="J41" s="1">
        <f>SUM('㈱塩釜:牡鹿'!J41)</f>
        <v>387.6814</v>
      </c>
      <c r="K41" s="1">
        <f>SUM('㈱塩釜:牡鹿'!K41)</f>
        <v>222.6741</v>
      </c>
      <c r="L41" s="1">
        <f>SUM('㈱塩釜:牡鹿'!L41)</f>
        <v>191.72560000000001</v>
      </c>
      <c r="M41" s="1">
        <f>SUM('㈱塩釜:牡鹿'!M41)</f>
        <v>837.7625</v>
      </c>
      <c r="N41" s="1">
        <f>SUM('㈱塩釜:牡鹿'!N41)</f>
        <v>750.8065</v>
      </c>
      <c r="O41" s="1">
        <f>SUM('㈱塩釜:牡鹿'!O41)</f>
        <v>128.0517</v>
      </c>
      <c r="P41" s="8">
        <f>SUM('㈱塩釜:牡鹿'!P41)</f>
        <v>3034.9514</v>
      </c>
    </row>
    <row r="42" spans="1:16" ht="19.5" customHeight="1">
      <c r="A42" s="378"/>
      <c r="B42" s="379"/>
      <c r="C42" s="48" t="s">
        <v>18</v>
      </c>
      <c r="D42" s="2">
        <f>SUM('㈱塩釜:牡鹿'!D42)</f>
        <v>2644.2614235985566</v>
      </c>
      <c r="E42" s="2">
        <f>SUM('㈱塩釜:牡鹿'!E42)</f>
        <v>1503.3159830442917</v>
      </c>
      <c r="F42" s="2">
        <f>SUM('㈱塩釜:牡鹿'!F42)</f>
        <v>2232.528350517722</v>
      </c>
      <c r="G42" s="2">
        <f>SUM('㈱塩釜:牡鹿'!G42)</f>
        <v>1391.876621094828</v>
      </c>
      <c r="H42" s="2">
        <f>SUM('㈱塩釜:牡鹿'!H42)</f>
        <v>15145.589606862452</v>
      </c>
      <c r="I42" s="2">
        <f>SUM('㈱塩釜:牡鹿'!I42)</f>
        <v>86026.07612797327</v>
      </c>
      <c r="J42" s="2">
        <f>SUM('㈱塩釜:牡鹿'!J42)</f>
        <v>85567.6651978094</v>
      </c>
      <c r="K42" s="2">
        <f>SUM('㈱塩釜:牡鹿'!K42)</f>
        <v>61920.53959480181</v>
      </c>
      <c r="L42" s="2">
        <f>SUM('㈱塩釜:牡鹿'!L42)</f>
        <v>24466.370549853113</v>
      </c>
      <c r="M42" s="2">
        <f>SUM('㈱塩釜:牡鹿'!M42)</f>
        <v>124759.78579650636</v>
      </c>
      <c r="N42" s="2">
        <f>SUM('㈱塩釜:牡鹿'!N42)</f>
        <v>126483.06441827967</v>
      </c>
      <c r="O42" s="2">
        <f>SUM('㈱塩釜:牡鹿'!O42)</f>
        <v>51399.996963220445</v>
      </c>
      <c r="P42" s="9">
        <f>SUM('㈱塩釜:牡鹿'!P42)</f>
        <v>583541.0706335618</v>
      </c>
    </row>
    <row r="43" spans="1:16" ht="19.5" customHeight="1">
      <c r="A43" s="376" t="s">
        <v>201</v>
      </c>
      <c r="B43" s="377"/>
      <c r="C43" s="54" t="s">
        <v>16</v>
      </c>
      <c r="D43" s="1"/>
      <c r="E43" s="1"/>
      <c r="F43" s="1"/>
      <c r="G43" s="1"/>
      <c r="H43" s="1">
        <f>SUM('㈱塩釜:牡鹿'!H43)</f>
        <v>0.0094</v>
      </c>
      <c r="I43" s="1"/>
      <c r="J43" s="1"/>
      <c r="K43" s="1"/>
      <c r="L43" s="1"/>
      <c r="M43" s="1"/>
      <c r="N43" s="1"/>
      <c r="O43" s="1"/>
      <c r="P43" s="8">
        <f>SUM('㈱塩釜:牡鹿'!P43)</f>
        <v>0.0094</v>
      </c>
    </row>
    <row r="44" spans="1:16" ht="19.5" customHeight="1">
      <c r="A44" s="378"/>
      <c r="B44" s="379"/>
      <c r="C44" s="48" t="s">
        <v>18</v>
      </c>
      <c r="D44" s="2"/>
      <c r="E44" s="2"/>
      <c r="F44" s="2"/>
      <c r="G44" s="2"/>
      <c r="H44" s="2">
        <f>SUM('㈱塩釜:牡鹿'!H44)</f>
        <v>10.475999999999999</v>
      </c>
      <c r="I44" s="2"/>
      <c r="J44" s="2"/>
      <c r="K44" s="2"/>
      <c r="L44" s="2"/>
      <c r="M44" s="2"/>
      <c r="N44" s="2"/>
      <c r="O44" s="2"/>
      <c r="P44" s="9">
        <f>SUM('㈱塩釜:牡鹿'!P44)</f>
        <v>10.475999999999999</v>
      </c>
    </row>
    <row r="45" spans="1:16" ht="19.5" customHeight="1">
      <c r="A45" s="376" t="s">
        <v>202</v>
      </c>
      <c r="B45" s="377"/>
      <c r="C45" s="54" t="s">
        <v>16</v>
      </c>
      <c r="D45" s="1">
        <f>SUM('㈱塩釜:牡鹿'!D45)</f>
        <v>0.0902</v>
      </c>
      <c r="E45" s="1">
        <f>SUM('㈱塩釜:牡鹿'!E45)</f>
        <v>0.0926</v>
      </c>
      <c r="F45" s="1">
        <f>SUM('㈱塩釜:牡鹿'!F45)</f>
        <v>0.046099999999999995</v>
      </c>
      <c r="G45" s="1">
        <f>SUM('㈱塩釜:牡鹿'!G45)</f>
        <v>0.0453</v>
      </c>
      <c r="H45" s="1">
        <f>SUM('㈱塩釜:牡鹿'!H45)</f>
        <v>0.0262</v>
      </c>
      <c r="I45" s="1">
        <f>SUM('㈱塩釜:牡鹿'!I45)</f>
        <v>0.0068000000000000005</v>
      </c>
      <c r="J45" s="1">
        <f>SUM('㈱塩釜:牡鹿'!J45)</f>
        <v>0</v>
      </c>
      <c r="K45" s="1">
        <f>SUM('㈱塩釜:牡鹿'!K45)</f>
        <v>0.001</v>
      </c>
      <c r="L45" s="1">
        <f>SUM('㈱塩釜:牡鹿'!L45)</f>
        <v>0.0014</v>
      </c>
      <c r="M45" s="1">
        <f>SUM('㈱塩釜:牡鹿'!M45)</f>
        <v>0.007599999999999999</v>
      </c>
      <c r="N45" s="1">
        <f>SUM('㈱塩釜:牡鹿'!N45)</f>
        <v>0.0034</v>
      </c>
      <c r="O45" s="1">
        <f>SUM('㈱塩釜:牡鹿'!O45)</f>
        <v>0.0018</v>
      </c>
      <c r="P45" s="8">
        <f>SUM('㈱塩釜:牡鹿'!P45)</f>
        <v>0.3224</v>
      </c>
    </row>
    <row r="46" spans="1:16" ht="19.5" customHeight="1">
      <c r="A46" s="378"/>
      <c r="B46" s="379"/>
      <c r="C46" s="48" t="s">
        <v>18</v>
      </c>
      <c r="D46" s="2">
        <f>SUM('㈱塩釜:牡鹿'!D46)</f>
        <v>41.456999999999994</v>
      </c>
      <c r="E46" s="2">
        <f>SUM('㈱塩釜:牡鹿'!E46)</f>
        <v>70.43599999999999</v>
      </c>
      <c r="F46" s="2">
        <f>SUM('㈱塩釜:牡鹿'!F46)</f>
        <v>61.596000000000004</v>
      </c>
      <c r="G46" s="2">
        <f>SUM('㈱塩釜:牡鹿'!G46)</f>
        <v>79.01299997281937</v>
      </c>
      <c r="H46" s="2">
        <f>SUM('㈱塩釜:牡鹿'!H46)</f>
        <v>26.221</v>
      </c>
      <c r="I46" s="2">
        <f>SUM('㈱塩釜:牡鹿'!I46)</f>
        <v>5.4190000000000005</v>
      </c>
      <c r="J46" s="2">
        <f>SUM('㈱塩釜:牡鹿'!J46)</f>
        <v>4.536</v>
      </c>
      <c r="K46" s="2">
        <f>SUM('㈱塩釜:牡鹿'!K46)</f>
        <v>0.3239999941842765</v>
      </c>
      <c r="L46" s="2">
        <f>SUM('㈱塩釜:牡鹿'!L46)</f>
        <v>1.512</v>
      </c>
      <c r="M46" s="2">
        <f>SUM('㈱塩釜:牡鹿'!M46)</f>
        <v>9.177999999999999</v>
      </c>
      <c r="N46" s="2">
        <f>SUM('㈱塩釜:牡鹿'!N46)</f>
        <v>3.731</v>
      </c>
      <c r="O46" s="2">
        <f>SUM('㈱塩釜:牡鹿'!O46)</f>
        <v>1.555</v>
      </c>
      <c r="P46" s="9">
        <f>SUM('㈱塩釜:牡鹿'!P46)</f>
        <v>304.97799996700365</v>
      </c>
    </row>
    <row r="47" spans="1:16" ht="19.5" customHeight="1">
      <c r="A47" s="376" t="s">
        <v>203</v>
      </c>
      <c r="B47" s="377"/>
      <c r="C47" s="54" t="s">
        <v>16</v>
      </c>
      <c r="D47" s="1">
        <f>SUM('㈱塩釜:牡鹿'!D47)</f>
        <v>0.0976</v>
      </c>
      <c r="E47" s="1">
        <f>SUM('㈱塩釜:牡鹿'!E47)</f>
        <v>0.2766</v>
      </c>
      <c r="F47" s="1">
        <f>SUM('㈱塩釜:牡鹿'!F47)</f>
        <v>0.053500000000000006</v>
      </c>
      <c r="G47" s="1">
        <f>SUM('㈱塩釜:牡鹿'!G47)</f>
        <v>0.0392</v>
      </c>
      <c r="H47" s="1">
        <f>SUM('㈱塩釜:牡鹿'!H47)</f>
        <v>0.3182</v>
      </c>
      <c r="I47" s="1">
        <f>SUM('㈱塩釜:牡鹿'!I47)</f>
        <v>0.12130000000000002</v>
      </c>
      <c r="J47" s="1">
        <f>SUM('㈱塩釜:牡鹿'!J47)</f>
        <v>0.0326</v>
      </c>
      <c r="K47" s="1">
        <f>SUM('㈱塩釜:牡鹿'!K47)</f>
        <v>0.005</v>
      </c>
      <c r="L47" s="1">
        <f>SUM('㈱塩釜:牡鹿'!L47)</f>
        <v>0.0373</v>
      </c>
      <c r="M47" s="1">
        <f>SUM('㈱塩釜:牡鹿'!M47)</f>
        <v>0.030600000000000002</v>
      </c>
      <c r="N47" s="1">
        <f>SUM('㈱塩釜:牡鹿'!N47)</f>
        <v>0.0024</v>
      </c>
      <c r="O47" s="1">
        <f>SUM('㈱塩釜:牡鹿'!O47)</f>
        <v>0.017800000000000003</v>
      </c>
      <c r="P47" s="8">
        <f>SUM('㈱塩釜:牡鹿'!P47)</f>
        <v>1.0321000000000002</v>
      </c>
    </row>
    <row r="48" spans="1:16" ht="19.5" customHeight="1">
      <c r="A48" s="378"/>
      <c r="B48" s="379"/>
      <c r="C48" s="48" t="s">
        <v>18</v>
      </c>
      <c r="D48" s="2">
        <f>SUM('㈱塩釜:牡鹿'!D48)</f>
        <v>89.50700207615907</v>
      </c>
      <c r="E48" s="2">
        <f>SUM('㈱塩釜:牡鹿'!E48)</f>
        <v>138.7000226379866</v>
      </c>
      <c r="F48" s="2">
        <f>SUM('㈱塩釜:牡鹿'!F48)</f>
        <v>17.471999999999998</v>
      </c>
      <c r="G48" s="2">
        <f>SUM('㈱塩釜:牡鹿'!G48)</f>
        <v>34.766999826044035</v>
      </c>
      <c r="H48" s="2">
        <f>SUM('㈱塩釜:牡鹿'!H48)</f>
        <v>349.2260001095066</v>
      </c>
      <c r="I48" s="2">
        <f>SUM('㈱塩釜:牡鹿'!I48)</f>
        <v>75.423</v>
      </c>
      <c r="J48" s="2">
        <f>SUM('㈱塩釜:牡鹿'!J48)</f>
        <v>5.574</v>
      </c>
      <c r="K48" s="2">
        <f>SUM('㈱塩釜:牡鹿'!K48)</f>
        <v>8.705</v>
      </c>
      <c r="L48" s="2">
        <f>SUM('㈱塩釜:牡鹿'!L48)</f>
        <v>31.323999999999998</v>
      </c>
      <c r="M48" s="2">
        <f>SUM('㈱塩釜:牡鹿'!M48)</f>
        <v>25.835</v>
      </c>
      <c r="N48" s="2">
        <f>SUM('㈱塩釜:牡鹿'!N48)</f>
        <v>1.577</v>
      </c>
      <c r="O48" s="2">
        <f>SUM('㈱塩釜:牡鹿'!O48)</f>
        <v>11.138</v>
      </c>
      <c r="P48" s="9">
        <f>SUM('㈱塩釜:牡鹿'!P48)</f>
        <v>789.2480246496963</v>
      </c>
    </row>
    <row r="49" spans="1:16" ht="19.5" customHeight="1">
      <c r="A49" s="376" t="s">
        <v>204</v>
      </c>
      <c r="B49" s="377"/>
      <c r="C49" s="54" t="s">
        <v>16</v>
      </c>
      <c r="D49" s="1">
        <f>SUM('㈱塩釜:牡鹿'!D49)</f>
        <v>7858.919999999999</v>
      </c>
      <c r="E49" s="1">
        <f>SUM('㈱塩釜:牡鹿'!E49)</f>
        <v>4645.3562</v>
      </c>
      <c r="F49" s="1">
        <f>SUM('㈱塩釜:牡鹿'!F49)</f>
        <v>1032.038</v>
      </c>
      <c r="G49" s="1">
        <f>SUM('㈱塩釜:牡鹿'!G49)</f>
        <v>209.47400000000002</v>
      </c>
      <c r="H49" s="1">
        <f>SUM('㈱塩釜:牡鹿'!H49)</f>
        <v>2370.2705</v>
      </c>
      <c r="I49" s="1">
        <f>SUM('㈱塩釜:牡鹿'!I49)</f>
        <v>1572.9034000000001</v>
      </c>
      <c r="J49" s="1">
        <f>SUM('㈱塩釜:牡鹿'!J49)</f>
        <v>3019.2558</v>
      </c>
      <c r="K49" s="1">
        <f>SUM('㈱塩釜:牡鹿'!K49)</f>
        <v>1586.3658999999998</v>
      </c>
      <c r="L49" s="1">
        <f>SUM('㈱塩釜:牡鹿'!L49)</f>
        <v>2316.6294</v>
      </c>
      <c r="M49" s="1">
        <f>SUM('㈱塩釜:牡鹿'!M49)</f>
        <v>6279.839040000001</v>
      </c>
      <c r="N49" s="1">
        <f>SUM('㈱塩釜:牡鹿'!N49)</f>
        <v>8495.025199999998</v>
      </c>
      <c r="O49" s="1">
        <f>SUM('㈱塩釜:牡鹿'!O49)</f>
        <v>7390.674500000002</v>
      </c>
      <c r="P49" s="8">
        <f>SUM('㈱塩釜:牡鹿'!P49)</f>
        <v>46776.75194000001</v>
      </c>
    </row>
    <row r="50" spans="1:16" ht="19.5" customHeight="1">
      <c r="A50" s="378"/>
      <c r="B50" s="379"/>
      <c r="C50" s="48" t="s">
        <v>18</v>
      </c>
      <c r="D50" s="2">
        <f>SUM('㈱塩釜:牡鹿'!D50)</f>
        <v>904888.617</v>
      </c>
      <c r="E50" s="2">
        <f>SUM('㈱塩釜:牡鹿'!E50)</f>
        <v>400250.027</v>
      </c>
      <c r="F50" s="2">
        <f>SUM('㈱塩釜:牡鹿'!F50)</f>
        <v>86167.24099999998</v>
      </c>
      <c r="G50" s="2">
        <f>SUM('㈱塩釜:牡鹿'!G50)</f>
        <v>16555.925</v>
      </c>
      <c r="H50" s="2">
        <f>SUM('㈱塩釜:牡鹿'!H50)</f>
        <v>213525.43400011194</v>
      </c>
      <c r="I50" s="2">
        <f>SUM('㈱塩釜:牡鹿'!I50)</f>
        <v>127423.88820010923</v>
      </c>
      <c r="J50" s="2">
        <f>SUM('㈱塩釜:牡鹿'!J50)</f>
        <v>222074.97647628616</v>
      </c>
      <c r="K50" s="2">
        <f>SUM('㈱塩釜:牡鹿'!K50)</f>
        <v>200822.9990592519</v>
      </c>
      <c r="L50" s="2">
        <f>SUM('㈱塩釜:牡鹿'!L50)</f>
        <v>224658.85799785808</v>
      </c>
      <c r="M50" s="2">
        <f>SUM('㈱塩釜:牡鹿'!M50)</f>
        <v>460803.3670941796</v>
      </c>
      <c r="N50" s="2">
        <f>SUM('㈱塩釜:牡鹿'!N50)</f>
        <v>735085.35125328</v>
      </c>
      <c r="O50" s="2">
        <f>SUM('㈱塩釜:牡鹿'!O50)</f>
        <v>702453.1451289367</v>
      </c>
      <c r="P50" s="9">
        <f>SUM('㈱塩釜:牡鹿'!P50)</f>
        <v>4294709.829210014</v>
      </c>
    </row>
    <row r="51" spans="1:16" ht="19.5" customHeight="1">
      <c r="A51" s="376" t="s">
        <v>205</v>
      </c>
      <c r="B51" s="377"/>
      <c r="C51" s="54" t="s">
        <v>16</v>
      </c>
      <c r="D51" s="1">
        <f>SUM('㈱塩釜:牡鹿'!D51)</f>
        <v>406.445</v>
      </c>
      <c r="E51" s="1">
        <f>SUM('㈱塩釜:牡鹿'!E51)</f>
        <v>255.68099999999998</v>
      </c>
      <c r="F51" s="1">
        <f>SUM('㈱塩釜:牡鹿'!F51)</f>
        <v>7.0169999999999995</v>
      </c>
      <c r="G51" s="1">
        <f>SUM('㈱塩釜:牡鹿'!G51)</f>
        <v>0.041</v>
      </c>
      <c r="H51" s="1">
        <f>SUM('㈱塩釜:牡鹿'!H51)</f>
        <v>0.092</v>
      </c>
      <c r="I51" s="1">
        <f>SUM('㈱塩釜:牡鹿'!I51)</f>
        <v>0.47600000000000003</v>
      </c>
      <c r="J51" s="1">
        <f>SUM('㈱塩釜:牡鹿'!J51)</f>
        <v>0.11</v>
      </c>
      <c r="K51" s="1">
        <f>SUM('㈱塩釜:牡鹿'!K51)</f>
        <v>27.59</v>
      </c>
      <c r="L51" s="1">
        <f>SUM('㈱塩釜:牡鹿'!L51)</f>
        <v>8223.661900000001</v>
      </c>
      <c r="M51" s="1">
        <f>SUM('㈱塩釜:牡鹿'!M51)</f>
        <v>18468.655499999997</v>
      </c>
      <c r="N51" s="1">
        <f>SUM('㈱塩釜:牡鹿'!N51)</f>
        <v>22147.3948</v>
      </c>
      <c r="O51" s="1">
        <f>SUM('㈱塩釜:牡鹿'!O51)</f>
        <v>3833.9384999999997</v>
      </c>
      <c r="P51" s="8">
        <f>SUM('㈱塩釜:牡鹿'!P51)</f>
        <v>53371.1027</v>
      </c>
    </row>
    <row r="52" spans="1:16" ht="19.5" customHeight="1">
      <c r="A52" s="378"/>
      <c r="B52" s="379"/>
      <c r="C52" s="48" t="s">
        <v>18</v>
      </c>
      <c r="D52" s="2">
        <f>SUM('㈱塩釜:牡鹿'!D52)</f>
        <v>38609.516</v>
      </c>
      <c r="E52" s="2">
        <f>SUM('㈱塩釜:牡鹿'!E52)</f>
        <v>22711.277</v>
      </c>
      <c r="F52" s="2">
        <f>SUM('㈱塩釜:牡鹿'!F52)</f>
        <v>2060.065</v>
      </c>
      <c r="G52" s="2">
        <f>SUM('㈱塩釜:牡鹿'!G52)</f>
        <v>37.044</v>
      </c>
      <c r="H52" s="2">
        <f>SUM('㈱塩釜:牡鹿'!H52)</f>
        <v>76.87400000000001</v>
      </c>
      <c r="I52" s="2">
        <f>SUM('㈱塩釜:牡鹿'!I52)</f>
        <v>124.71600005393596</v>
      </c>
      <c r="J52" s="2">
        <f>SUM('㈱塩釜:牡鹿'!J52)</f>
        <v>98.28</v>
      </c>
      <c r="K52" s="2">
        <f>SUM('㈱塩釜:牡鹿'!K52)</f>
        <v>28542.218321071326</v>
      </c>
      <c r="L52" s="2">
        <f>SUM('㈱塩釜:牡鹿'!L52)</f>
        <v>1412623.6317013726</v>
      </c>
      <c r="M52" s="2">
        <f>SUM('㈱塩釜:牡鹿'!M52)</f>
        <v>2000613.717187685</v>
      </c>
      <c r="N52" s="2">
        <f>SUM('㈱塩釜:牡鹿'!N52)</f>
        <v>1452457.7252007686</v>
      </c>
      <c r="O52" s="2">
        <f>SUM('㈱塩釜:牡鹿'!O52)</f>
        <v>307729.55400000006</v>
      </c>
      <c r="P52" s="9">
        <f>SUM('㈱塩釜:牡鹿'!P52)</f>
        <v>5265684.6184109505</v>
      </c>
    </row>
    <row r="53" spans="1:16" ht="19.5" customHeight="1">
      <c r="A53" s="376" t="s">
        <v>206</v>
      </c>
      <c r="B53" s="377"/>
      <c r="C53" s="54" t="s">
        <v>16</v>
      </c>
      <c r="D53" s="1">
        <f>SUM('㈱塩釜:牡鹿'!D53)</f>
        <v>11.7296</v>
      </c>
      <c r="E53" s="1">
        <f>SUM('㈱塩釜:牡鹿'!E53)</f>
        <v>0.2238</v>
      </c>
      <c r="F53" s="1">
        <f>SUM('㈱塩釜:牡鹿'!F53)</f>
        <v>8.9889</v>
      </c>
      <c r="G53" s="1">
        <f>SUM('㈱塩釜:牡鹿'!G53)</f>
        <v>272.2787</v>
      </c>
      <c r="H53" s="1">
        <f>SUM('㈱塩釜:牡鹿'!H53)</f>
        <v>755.1638</v>
      </c>
      <c r="I53" s="1">
        <f>SUM('㈱塩釜:牡鹿'!I53)</f>
        <v>1666.7215</v>
      </c>
      <c r="J53" s="1">
        <f>SUM('㈱塩釜:牡鹿'!J53)</f>
        <v>3561.6586</v>
      </c>
      <c r="K53" s="1">
        <f>SUM('㈱塩釜:牡鹿'!K53)</f>
        <v>435.9888</v>
      </c>
      <c r="L53" s="1">
        <f>SUM('㈱塩釜:牡鹿'!L53)</f>
        <v>455.92769999999996</v>
      </c>
      <c r="M53" s="1">
        <f>SUM('㈱塩釜:牡鹿'!M53)</f>
        <v>2935.7246999999998</v>
      </c>
      <c r="N53" s="1">
        <f>SUM('㈱塩釜:牡鹿'!N53)</f>
        <v>1946.5309</v>
      </c>
      <c r="O53" s="1">
        <f>SUM('㈱塩釜:牡鹿'!O53)</f>
        <v>343.4951</v>
      </c>
      <c r="P53" s="8">
        <f>SUM('㈱塩釜:牡鹿'!P53)</f>
        <v>12394.432099999996</v>
      </c>
    </row>
    <row r="54" spans="1:16" ht="19.5" customHeight="1">
      <c r="A54" s="378"/>
      <c r="B54" s="379"/>
      <c r="C54" s="48" t="s">
        <v>18</v>
      </c>
      <c r="D54" s="2">
        <f>SUM('㈱塩釜:牡鹿'!D54)</f>
        <v>1841.1970000000001</v>
      </c>
      <c r="E54" s="2">
        <f>SUM('㈱塩釜:牡鹿'!E54)</f>
        <v>291.129</v>
      </c>
      <c r="F54" s="2">
        <f>SUM('㈱塩釜:牡鹿'!F54)</f>
        <v>7336.74802866138</v>
      </c>
      <c r="G54" s="2">
        <f>SUM('㈱塩釜:牡鹿'!G54)</f>
        <v>197302.1783944819</v>
      </c>
      <c r="H54" s="2">
        <f>SUM('㈱塩釜:牡鹿'!H54)</f>
        <v>520376.26280189323</v>
      </c>
      <c r="I54" s="2">
        <f>SUM('㈱塩釜:牡鹿'!I54)</f>
        <v>969410.5852023269</v>
      </c>
      <c r="J54" s="2">
        <f>SUM('㈱塩釜:牡鹿'!J54)</f>
        <v>1958935.052</v>
      </c>
      <c r="K54" s="2">
        <f>SUM('㈱塩釜:牡鹿'!K54)</f>
        <v>235378.14099999564</v>
      </c>
      <c r="L54" s="2">
        <f>SUM('㈱塩釜:牡鹿'!L54)</f>
        <v>169235.99339995923</v>
      </c>
      <c r="M54" s="2">
        <f>SUM('㈱塩釜:牡鹿'!M54)</f>
        <v>1334578.8993599585</v>
      </c>
      <c r="N54" s="2">
        <f>SUM('㈱塩釜:牡鹿'!N54)</f>
        <v>902223.292600319</v>
      </c>
      <c r="O54" s="2">
        <f>SUM('㈱塩釜:牡鹿'!O54)</f>
        <v>146606.951</v>
      </c>
      <c r="P54" s="9">
        <f>SUM('㈱塩釜:牡鹿'!P54)</f>
        <v>6443516.429787596</v>
      </c>
    </row>
    <row r="55" spans="1:16" ht="19.5" customHeight="1">
      <c r="A55" s="44" t="s">
        <v>0</v>
      </c>
      <c r="B55" s="382" t="s">
        <v>132</v>
      </c>
      <c r="C55" s="54" t="s">
        <v>16</v>
      </c>
      <c r="D55" s="1">
        <f>SUM('㈱塩釜:牡鹿'!D55)</f>
        <v>0.6215999999999999</v>
      </c>
      <c r="E55" s="1">
        <f>SUM('㈱塩釜:牡鹿'!E55)</f>
        <v>0.6089</v>
      </c>
      <c r="F55" s="1">
        <f>SUM('㈱塩釜:牡鹿'!F55)</f>
        <v>0.7493</v>
      </c>
      <c r="G55" s="1">
        <f>SUM('㈱塩釜:牡鹿'!G55)</f>
        <v>0.9872000000000001</v>
      </c>
      <c r="H55" s="1">
        <f>SUM('㈱塩釜:牡鹿'!H55)</f>
        <v>7.7429</v>
      </c>
      <c r="I55" s="1">
        <f>SUM('㈱塩釜:牡鹿'!I55)</f>
        <v>25.9803</v>
      </c>
      <c r="J55" s="1">
        <f>SUM('㈱塩釜:牡鹿'!J55)</f>
        <v>37.383300000000006</v>
      </c>
      <c r="K55" s="1">
        <f>SUM('㈱塩釜:牡鹿'!K55)</f>
        <v>79.625</v>
      </c>
      <c r="L55" s="1">
        <f>SUM('㈱塩釜:牡鹿'!L55)</f>
        <v>57.1762</v>
      </c>
      <c r="M55" s="1">
        <f>SUM('㈱塩釜:牡鹿'!M55)</f>
        <v>22.4935</v>
      </c>
      <c r="N55" s="1">
        <f>SUM('㈱塩釜:牡鹿'!N55)</f>
        <v>11.4064</v>
      </c>
      <c r="O55" s="1">
        <f>SUM('㈱塩釜:牡鹿'!O55)</f>
        <v>3.8116</v>
      </c>
      <c r="P55" s="8">
        <f>SUM('㈱塩釜:牡鹿'!P55)</f>
        <v>248.5862</v>
      </c>
    </row>
    <row r="56" spans="1:16" ht="19.5" customHeight="1">
      <c r="A56" s="45" t="s">
        <v>207</v>
      </c>
      <c r="B56" s="383"/>
      <c r="C56" s="48" t="s">
        <v>18</v>
      </c>
      <c r="D56" s="2">
        <f>SUM('㈱塩釜:牡鹿'!D56)</f>
        <v>556.4576140872998</v>
      </c>
      <c r="E56" s="2">
        <f>SUM('㈱塩釜:牡鹿'!E56)</f>
        <v>573.9157358138048</v>
      </c>
      <c r="F56" s="2">
        <f>SUM('㈱塩釜:牡鹿'!F56)</f>
        <v>709.3071136133875</v>
      </c>
      <c r="G56" s="2">
        <f>SUM('㈱塩釜:牡鹿'!G56)</f>
        <v>973.0729880215008</v>
      </c>
      <c r="H56" s="2">
        <f>SUM('㈱塩釜:牡鹿'!H56)</f>
        <v>8341.63600738339</v>
      </c>
      <c r="I56" s="2">
        <f>SUM('㈱塩釜:牡鹿'!I56)</f>
        <v>18628.633811372958</v>
      </c>
      <c r="J56" s="2">
        <f>SUM('㈱塩釜:牡鹿'!J56)</f>
        <v>19092.971637671246</v>
      </c>
      <c r="K56" s="2">
        <f>SUM('㈱塩釜:牡鹿'!K56)</f>
        <v>44264.45658926777</v>
      </c>
      <c r="L56" s="2">
        <f>SUM('㈱塩釜:牡鹿'!L56)</f>
        <v>20904.208989874158</v>
      </c>
      <c r="M56" s="2">
        <f>SUM('㈱塩釜:牡鹿'!M56)</f>
        <v>12421.510116405627</v>
      </c>
      <c r="N56" s="2">
        <f>SUM('㈱塩釜:牡鹿'!N56)</f>
        <v>7199.313607694349</v>
      </c>
      <c r="O56" s="2">
        <f>SUM('㈱塩釜:牡鹿'!O56)</f>
        <v>3031.0397897684647</v>
      </c>
      <c r="P56" s="9">
        <f>SUM('㈱塩釜:牡鹿'!P56)</f>
        <v>136696.52400097396</v>
      </c>
    </row>
    <row r="57" spans="1:16" ht="19.5" customHeight="1">
      <c r="A57" s="45" t="s">
        <v>17</v>
      </c>
      <c r="B57" s="47" t="s">
        <v>20</v>
      </c>
      <c r="C57" s="54" t="s">
        <v>16</v>
      </c>
      <c r="D57" s="1">
        <f>SUM('㈱塩釜:牡鹿'!D57)</f>
        <v>1.8386999999999998</v>
      </c>
      <c r="E57" s="1">
        <f>SUM('㈱塩釜:牡鹿'!E57)</f>
        <v>0.46780000000000005</v>
      </c>
      <c r="F57" s="1">
        <f>SUM('㈱塩釜:牡鹿'!F57)</f>
        <v>0.1373</v>
      </c>
      <c r="G57" s="1">
        <f>SUM('㈱塩釜:牡鹿'!G57)</f>
        <v>1.7291</v>
      </c>
      <c r="H57" s="1">
        <f>SUM('㈱塩釜:牡鹿'!H57)</f>
        <v>1.378</v>
      </c>
      <c r="I57" s="1">
        <f>SUM('㈱塩釜:牡鹿'!I57)</f>
        <v>2.7317</v>
      </c>
      <c r="J57" s="1">
        <f>SUM('㈱塩釜:牡鹿'!J57)</f>
        <v>2.1791</v>
      </c>
      <c r="K57" s="1">
        <f>SUM('㈱塩釜:牡鹿'!K57)</f>
        <v>2.2283999999999997</v>
      </c>
      <c r="L57" s="1">
        <f>SUM('㈱塩釜:牡鹿'!L57)</f>
        <v>13.182199999999996</v>
      </c>
      <c r="M57" s="1">
        <f>SUM('㈱塩釜:牡鹿'!M57)</f>
        <v>69.8966</v>
      </c>
      <c r="N57" s="1">
        <f>SUM('㈱塩釜:牡鹿'!N57)</f>
        <v>4.2248</v>
      </c>
      <c r="O57" s="1">
        <f>SUM('㈱塩釜:牡鹿'!O57)</f>
        <v>4.3927000000000005</v>
      </c>
      <c r="P57" s="8">
        <f>SUM('㈱塩釜:牡鹿'!P57)</f>
        <v>104.3864</v>
      </c>
    </row>
    <row r="58" spans="1:16" ht="19.5" customHeight="1">
      <c r="A58" s="45" t="s">
        <v>23</v>
      </c>
      <c r="B58" s="48" t="s">
        <v>113</v>
      </c>
      <c r="C58" s="48" t="s">
        <v>18</v>
      </c>
      <c r="D58" s="2">
        <f>SUM('㈱塩釜:牡鹿'!D58)</f>
        <v>383.7057507349131</v>
      </c>
      <c r="E58" s="2">
        <f>SUM('㈱塩釜:牡鹿'!E58)</f>
        <v>165.29601325171575</v>
      </c>
      <c r="F58" s="2">
        <f>SUM('㈱塩釜:牡鹿'!F58)</f>
        <v>58.33800241853822</v>
      </c>
      <c r="G58" s="2">
        <f>SUM('㈱塩釜:牡鹿'!G58)</f>
        <v>237.8445978895155</v>
      </c>
      <c r="H58" s="2">
        <f>SUM('㈱塩釜:牡鹿'!H58)</f>
        <v>359.78280079115484</v>
      </c>
      <c r="I58" s="2">
        <f>SUM('㈱塩釜:牡鹿'!I58)</f>
        <v>941.1056001965292</v>
      </c>
      <c r="J58" s="2">
        <f>SUM('㈱塩釜:牡鹿'!J58)</f>
        <v>1028.5147999428684</v>
      </c>
      <c r="K58" s="2">
        <f>SUM('㈱塩釜:牡鹿'!K58)</f>
        <v>1529.750199176881</v>
      </c>
      <c r="L58" s="2">
        <f>SUM('㈱塩釜:牡鹿'!L58)</f>
        <v>2658.3765058616036</v>
      </c>
      <c r="M58" s="2">
        <f>SUM('㈱塩釜:牡鹿'!M58)</f>
        <v>4474.924034723285</v>
      </c>
      <c r="N58" s="2">
        <f>SUM('㈱塩釜:牡鹿'!N58)</f>
        <v>968.6388826736628</v>
      </c>
      <c r="O58" s="2">
        <f>SUM('㈱塩釜:牡鹿'!O58)</f>
        <v>1161.0056381710883</v>
      </c>
      <c r="P58" s="9">
        <f>SUM('㈱塩釜:牡鹿'!P58)</f>
        <v>13967.282825831759</v>
      </c>
    </row>
    <row r="59" spans="1:16" ht="19.5" customHeight="1">
      <c r="A59" s="45"/>
      <c r="B59" s="380" t="s">
        <v>194</v>
      </c>
      <c r="C59" s="54" t="s">
        <v>16</v>
      </c>
      <c r="D59" s="1">
        <f>SUM('㈱塩釜:牡鹿'!D59)</f>
        <v>2.4603</v>
      </c>
      <c r="E59" s="1">
        <f>SUM('㈱塩釜:牡鹿'!E59)</f>
        <v>1.0767000000000002</v>
      </c>
      <c r="F59" s="1">
        <f>SUM('㈱塩釜:牡鹿'!F59)</f>
        <v>0.8866</v>
      </c>
      <c r="G59" s="1">
        <f>SUM('㈱塩釜:牡鹿'!G59)</f>
        <v>2.7162999999999995</v>
      </c>
      <c r="H59" s="1">
        <f>SUM('㈱塩釜:牡鹿'!H59)</f>
        <v>9.120899999999999</v>
      </c>
      <c r="I59" s="1">
        <f>SUM('㈱塩釜:牡鹿'!I59)</f>
        <v>28.712</v>
      </c>
      <c r="J59" s="1">
        <f>SUM('㈱塩釜:牡鹿'!J59)</f>
        <v>39.56240000000001</v>
      </c>
      <c r="K59" s="1">
        <f>SUM('㈱塩釜:牡鹿'!K59)</f>
        <v>81.85340000000001</v>
      </c>
      <c r="L59" s="1">
        <f>SUM('㈱塩釜:牡鹿'!L59)</f>
        <v>70.35839999999999</v>
      </c>
      <c r="M59" s="1">
        <f>SUM('㈱塩釜:牡鹿'!M59)</f>
        <v>92.3901</v>
      </c>
      <c r="N59" s="1">
        <f>SUM('㈱塩釜:牡鹿'!N59)</f>
        <v>15.6312</v>
      </c>
      <c r="O59" s="1">
        <f>SUM('㈱塩釜:牡鹿'!O59)</f>
        <v>8.204300000000002</v>
      </c>
      <c r="P59" s="8">
        <f>SUM('㈱塩釜:牡鹿'!P59)</f>
        <v>352.97260000000006</v>
      </c>
    </row>
    <row r="60" spans="1:16" ht="19.5" customHeight="1">
      <c r="A60" s="40"/>
      <c r="B60" s="381"/>
      <c r="C60" s="48" t="s">
        <v>18</v>
      </c>
      <c r="D60" s="2">
        <f>SUM('㈱塩釜:牡鹿'!D60)</f>
        <v>940.1633648222131</v>
      </c>
      <c r="E60" s="2">
        <f>SUM('㈱塩釜:牡鹿'!E60)</f>
        <v>739.2117490655205</v>
      </c>
      <c r="F60" s="2">
        <f>SUM('㈱塩釜:牡鹿'!F60)</f>
        <v>767.6451160319257</v>
      </c>
      <c r="G60" s="2">
        <f>SUM('㈱塩釜:牡鹿'!G60)</f>
        <v>1210.9175859110162</v>
      </c>
      <c r="H60" s="2">
        <f>SUM('㈱塩釜:牡鹿'!H60)</f>
        <v>8701.418808174547</v>
      </c>
      <c r="I60" s="2">
        <f>SUM('㈱塩釜:牡鹿'!I60)</f>
        <v>19569.739411569488</v>
      </c>
      <c r="J60" s="2">
        <f>SUM('㈱塩釜:牡鹿'!J60)</f>
        <v>20121.486437614116</v>
      </c>
      <c r="K60" s="2">
        <f>SUM('㈱塩釜:牡鹿'!K60)</f>
        <v>45794.20678844465</v>
      </c>
      <c r="L60" s="2">
        <f>SUM('㈱塩釜:牡鹿'!L60)</f>
        <v>23562.58549573576</v>
      </c>
      <c r="M60" s="2">
        <f>SUM('㈱塩釜:牡鹿'!M60)</f>
        <v>16896.43415112891</v>
      </c>
      <c r="N60" s="2">
        <f>SUM('㈱塩釜:牡鹿'!N60)</f>
        <v>8167.952490368011</v>
      </c>
      <c r="O60" s="2">
        <f>SUM('㈱塩釜:牡鹿'!O60)</f>
        <v>4192.045427939554</v>
      </c>
      <c r="P60" s="9">
        <f>SUM('㈱塩釜:牡鹿'!P60)</f>
        <v>150663.80682680567</v>
      </c>
    </row>
    <row r="61" spans="1:16" ht="19.5" customHeight="1">
      <c r="A61" s="45" t="s">
        <v>0</v>
      </c>
      <c r="B61" s="382" t="s">
        <v>115</v>
      </c>
      <c r="C61" s="54" t="s">
        <v>16</v>
      </c>
      <c r="D61" s="1">
        <f>SUM('㈱塩釜:牡鹿'!D61)</f>
        <v>66.8126</v>
      </c>
      <c r="E61" s="1">
        <f>SUM('㈱塩釜:牡鹿'!E61)</f>
        <v>8.1894</v>
      </c>
      <c r="F61" s="1">
        <f>SUM('㈱塩釜:牡鹿'!F61)</f>
        <v>8.0846</v>
      </c>
      <c r="G61" s="1">
        <f>SUM('㈱塩釜:牡鹿'!G61)</f>
        <v>28.0508</v>
      </c>
      <c r="H61" s="1">
        <f>SUM('㈱塩釜:牡鹿'!H61)</f>
        <v>2.3295</v>
      </c>
      <c r="I61" s="1">
        <f>SUM('㈱塩釜:牡鹿'!I61)</f>
        <v>1.374</v>
      </c>
      <c r="J61" s="1">
        <f>SUM('㈱塩釜:牡鹿'!J61)</f>
        <v>1.2624999999999997</v>
      </c>
      <c r="K61" s="1">
        <f>SUM('㈱塩釜:牡鹿'!K61)</f>
        <v>0.6884</v>
      </c>
      <c r="L61" s="1">
        <f>SUM('㈱塩釜:牡鹿'!L61)</f>
        <v>13.223600000000001</v>
      </c>
      <c r="M61" s="1">
        <f>SUM('㈱塩釜:牡鹿'!M61)</f>
        <v>5.2571</v>
      </c>
      <c r="N61" s="1">
        <f>SUM('㈱塩釜:牡鹿'!N61)</f>
        <v>65.8282</v>
      </c>
      <c r="O61" s="1">
        <f>SUM('㈱塩釜:牡鹿'!O61)</f>
        <v>21.847</v>
      </c>
      <c r="P61" s="8">
        <f>SUM('㈱塩釜:牡鹿'!P61)</f>
        <v>225.5058</v>
      </c>
    </row>
    <row r="62" spans="1:16" ht="19.5" customHeight="1">
      <c r="A62" s="45" t="s">
        <v>49</v>
      </c>
      <c r="B62" s="383"/>
      <c r="C62" s="48" t="s">
        <v>18</v>
      </c>
      <c r="D62" s="2">
        <f>SUM('㈱塩釜:牡鹿'!D62)</f>
        <v>2886.3120720641446</v>
      </c>
      <c r="E62" s="2">
        <f>SUM('㈱塩釜:牡鹿'!E62)</f>
        <v>291.6022502448404</v>
      </c>
      <c r="F62" s="2">
        <f>SUM('㈱塩釜:牡鹿'!F62)</f>
        <v>247.2812508933263</v>
      </c>
      <c r="G62" s="2">
        <f>SUM('㈱塩釜:牡鹿'!G62)</f>
        <v>1160.6184398760022</v>
      </c>
      <c r="H62" s="2">
        <f>SUM('㈱塩釜:牡鹿'!H62)</f>
        <v>85.80276034713582</v>
      </c>
      <c r="I62" s="2">
        <f>SUM('㈱塩釜:牡鹿'!I62)</f>
        <v>49.82680043957798</v>
      </c>
      <c r="J62" s="2">
        <f>SUM('㈱塩釜:牡鹿'!J62)</f>
        <v>92.38879958086</v>
      </c>
      <c r="K62" s="2">
        <f>SUM('㈱塩釜:牡鹿'!K62)</f>
        <v>45.7377992427928</v>
      </c>
      <c r="L62" s="2">
        <f>SUM('㈱塩釜:牡鹿'!L62)</f>
        <v>454.01579920855113</v>
      </c>
      <c r="M62" s="2">
        <f>SUM('㈱塩釜:牡鹿'!M62)</f>
        <v>250.28711986211948</v>
      </c>
      <c r="N62" s="2">
        <f>SUM('㈱塩釜:牡鹿'!N62)</f>
        <v>4166.827431227588</v>
      </c>
      <c r="O62" s="2">
        <f>SUM('㈱塩釜:牡鹿'!O62)</f>
        <v>2530.9971977739365</v>
      </c>
      <c r="P62" s="9">
        <f>SUM('㈱塩釜:牡鹿'!P62)</f>
        <v>14173.906720760875</v>
      </c>
    </row>
    <row r="63" spans="1:16" ht="19.5" customHeight="1">
      <c r="A63" s="45" t="s">
        <v>0</v>
      </c>
      <c r="B63" s="47" t="s">
        <v>50</v>
      </c>
      <c r="C63" s="54" t="s">
        <v>16</v>
      </c>
      <c r="D63" s="1">
        <f>SUM('㈱塩釜:牡鹿'!D63)</f>
        <v>401.25</v>
      </c>
      <c r="E63" s="1">
        <f>SUM('㈱塩釜:牡鹿'!E63)</f>
        <v>433.7554</v>
      </c>
      <c r="F63" s="1">
        <f>SUM('㈱塩釜:牡鹿'!F63)</f>
        <v>513.5616</v>
      </c>
      <c r="G63" s="1">
        <f>SUM('㈱塩釜:牡鹿'!G63)</f>
        <v>190.13</v>
      </c>
      <c r="H63" s="1">
        <f>SUM('㈱塩釜:牡鹿'!H63)</f>
        <v>248.923</v>
      </c>
      <c r="I63" s="1">
        <f>SUM('㈱塩釜:牡鹿'!I63)</f>
        <v>561.786</v>
      </c>
      <c r="J63" s="1">
        <f>SUM('㈱塩釜:牡鹿'!J63)</f>
        <v>473.20300000000003</v>
      </c>
      <c r="K63" s="1">
        <f>SUM('㈱塩釜:牡鹿'!K63)</f>
        <v>471.528</v>
      </c>
      <c r="L63" s="1">
        <f>SUM('㈱塩釜:牡鹿'!L63)</f>
        <v>1204.9940000000001</v>
      </c>
      <c r="M63" s="1">
        <f>SUM('㈱塩釜:牡鹿'!M63)</f>
        <v>787.4150000000001</v>
      </c>
      <c r="N63" s="1">
        <f>SUM('㈱塩釜:牡鹿'!N63)</f>
        <v>294.203</v>
      </c>
      <c r="O63" s="1">
        <f>SUM('㈱塩釜:牡鹿'!O63)</f>
        <v>299.83000000000004</v>
      </c>
      <c r="P63" s="8">
        <f>SUM('㈱塩釜:牡鹿'!P63)</f>
        <v>5885.348000000001</v>
      </c>
    </row>
    <row r="64" spans="1:16" ht="19.5" customHeight="1">
      <c r="A64" s="45" t="s">
        <v>51</v>
      </c>
      <c r="B64" s="48" t="s">
        <v>116</v>
      </c>
      <c r="C64" s="48" t="s">
        <v>18</v>
      </c>
      <c r="D64" s="2">
        <f>SUM('㈱塩釜:牡鹿'!D64)</f>
        <v>47203.909</v>
      </c>
      <c r="E64" s="2">
        <f>SUM('㈱塩釜:牡鹿'!E64)</f>
        <v>52436.094</v>
      </c>
      <c r="F64" s="2">
        <f>SUM('㈱塩釜:牡鹿'!F64)</f>
        <v>66363.578</v>
      </c>
      <c r="G64" s="2">
        <f>SUM('㈱塩釜:牡鹿'!G64)</f>
        <v>25257.198191283354</v>
      </c>
      <c r="H64" s="2">
        <f>SUM('㈱塩釜:牡鹿'!H64)</f>
        <v>35360.949</v>
      </c>
      <c r="I64" s="2">
        <f>SUM('㈱塩釜:牡鹿'!I64)</f>
        <v>76751.948</v>
      </c>
      <c r="J64" s="2">
        <f>SUM('㈱塩釜:牡鹿'!J64)</f>
        <v>66476.804</v>
      </c>
      <c r="K64" s="2">
        <f>SUM('㈱塩釜:牡鹿'!K64)</f>
        <v>74313.30299999031</v>
      </c>
      <c r="L64" s="2">
        <f>SUM('㈱塩釜:牡鹿'!L64)</f>
        <v>140195.1139449747</v>
      </c>
      <c r="M64" s="2">
        <f>SUM('㈱塩釜:牡鹿'!M64)</f>
        <v>70999.19237931381</v>
      </c>
      <c r="N64" s="2">
        <f>SUM('㈱塩釜:牡鹿'!N64)</f>
        <v>29334.70661585585</v>
      </c>
      <c r="O64" s="2">
        <f>SUM('㈱塩釜:牡鹿'!O64)</f>
        <v>36547.24199542642</v>
      </c>
      <c r="P64" s="9">
        <f>SUM('㈱塩釜:牡鹿'!P64)</f>
        <v>724834.3481268445</v>
      </c>
    </row>
    <row r="65" spans="1:16" ht="19.5" customHeight="1">
      <c r="A65" s="45" t="s">
        <v>0</v>
      </c>
      <c r="B65" s="382" t="s">
        <v>53</v>
      </c>
      <c r="C65" s="54" t="s">
        <v>16</v>
      </c>
      <c r="D65" s="1">
        <f>SUM('㈱塩釜:牡鹿'!D65)</f>
        <v>134.66199999999998</v>
      </c>
      <c r="E65" s="1">
        <f>SUM('㈱塩釜:牡鹿'!E65)</f>
        <v>238.861</v>
      </c>
      <c r="F65" s="1">
        <f>SUM('㈱塩釜:牡鹿'!F65)</f>
        <v>295.181</v>
      </c>
      <c r="G65" s="1">
        <f>SUM('㈱塩釜:牡鹿'!G65)</f>
        <v>459.247</v>
      </c>
      <c r="H65" s="1">
        <f>SUM('㈱塩釜:牡鹿'!H65)</f>
        <v>446.04600000000005</v>
      </c>
      <c r="I65" s="1">
        <f>SUM('㈱塩釜:牡鹿'!I65)</f>
        <v>577.47</v>
      </c>
      <c r="J65" s="1">
        <f>SUM('㈱塩釜:牡鹿'!J65)</f>
        <v>219.794</v>
      </c>
      <c r="K65" s="1">
        <f>SUM('㈱塩釜:牡鹿'!K65)</f>
        <v>211.683</v>
      </c>
      <c r="L65" s="1">
        <f>SUM('㈱塩釜:牡鹿'!L65)</f>
        <v>69.521</v>
      </c>
      <c r="M65" s="1">
        <f>SUM('㈱塩釜:牡鹿'!M65)</f>
        <v>275.369</v>
      </c>
      <c r="N65" s="1">
        <f>SUM('㈱塩釜:牡鹿'!N65)</f>
        <v>270.976</v>
      </c>
      <c r="O65" s="1">
        <f>SUM('㈱塩釜:牡鹿'!O65)</f>
        <v>265.4869999999999</v>
      </c>
      <c r="P65" s="8">
        <f>SUM('㈱塩釜:牡鹿'!P65)</f>
        <v>3471.6241</v>
      </c>
    </row>
    <row r="66" spans="1:16" ht="19.5" customHeight="1">
      <c r="A66" s="45" t="s">
        <v>23</v>
      </c>
      <c r="B66" s="383"/>
      <c r="C66" s="48" t="s">
        <v>18</v>
      </c>
      <c r="D66" s="2">
        <f>SUM('㈱塩釜:牡鹿'!D66)</f>
        <v>21678.046</v>
      </c>
      <c r="E66" s="2">
        <f>SUM('㈱塩釜:牡鹿'!E66)</f>
        <v>33738.665</v>
      </c>
      <c r="F66" s="2">
        <f>SUM('㈱塩釜:牡鹿'!F66)</f>
        <v>38954.288</v>
      </c>
      <c r="G66" s="2">
        <f>SUM('㈱塩釜:牡鹿'!G66)</f>
        <v>55447.78599990939</v>
      </c>
      <c r="H66" s="2">
        <f>SUM('㈱塩釜:牡鹿'!H66)</f>
        <v>49963.532999999996</v>
      </c>
      <c r="I66" s="2">
        <f>SUM('㈱塩釜:牡鹿'!I66)</f>
        <v>63275.903</v>
      </c>
      <c r="J66" s="2">
        <f>SUM('㈱塩釜:牡鹿'!J66)</f>
        <v>30283.503</v>
      </c>
      <c r="K66" s="2">
        <f>SUM('㈱塩釜:牡鹿'!K66)</f>
        <v>26598.647</v>
      </c>
      <c r="L66" s="2">
        <f>SUM('㈱塩釜:牡鹿'!L66)</f>
        <v>20005.635</v>
      </c>
      <c r="M66" s="2">
        <f>SUM('㈱塩釜:牡鹿'!M66)</f>
        <v>30583.425</v>
      </c>
      <c r="N66" s="2">
        <f>SUM('㈱塩釜:牡鹿'!N66)</f>
        <v>25111.439</v>
      </c>
      <c r="O66" s="2">
        <f>SUM('㈱塩釜:牡鹿'!O66)</f>
        <v>30511.814</v>
      </c>
      <c r="P66" s="9">
        <f>SUM('㈱塩釜:牡鹿'!P66)</f>
        <v>431659.2029999093</v>
      </c>
    </row>
    <row r="67" spans="1:16" ht="19.5" customHeight="1">
      <c r="A67" s="50"/>
      <c r="B67" s="47" t="s">
        <v>20</v>
      </c>
      <c r="C67" s="54" t="s">
        <v>16</v>
      </c>
      <c r="D67" s="1">
        <f>SUM('㈱塩釜:牡鹿'!D67)</f>
        <v>77.9751</v>
      </c>
      <c r="E67" s="1">
        <f>SUM('㈱塩釜:牡鹿'!E67)</f>
        <v>54.5277</v>
      </c>
      <c r="F67" s="1">
        <f>SUM('㈱塩釜:牡鹿'!F67)</f>
        <v>60.6188</v>
      </c>
      <c r="G67" s="1">
        <f>SUM('㈱塩釜:牡鹿'!G67)</f>
        <v>34.49119999999999</v>
      </c>
      <c r="H67" s="1">
        <f>SUM('㈱塩釜:牡鹿'!H67)</f>
        <v>47.971700000000006</v>
      </c>
      <c r="I67" s="1">
        <f>SUM('㈱塩釜:牡鹿'!I67)</f>
        <v>82.55199999999999</v>
      </c>
      <c r="J67" s="1">
        <f>SUM('㈱塩釜:牡鹿'!J67)</f>
        <v>114.92999999999999</v>
      </c>
      <c r="K67" s="1">
        <f>SUM('㈱塩釜:牡鹿'!K67)</f>
        <v>71.74130000000001</v>
      </c>
      <c r="L67" s="1">
        <f>SUM('㈱塩釜:牡鹿'!L67)</f>
        <v>69.5553</v>
      </c>
      <c r="M67" s="1">
        <f>SUM('㈱塩釜:牡鹿'!M67)</f>
        <v>103.4203</v>
      </c>
      <c r="N67" s="1">
        <f>SUM('㈱塩釜:牡鹿'!N67)</f>
        <v>26.6911</v>
      </c>
      <c r="O67" s="1">
        <f>SUM('㈱塩釜:牡鹿'!O67)</f>
        <v>9.5973</v>
      </c>
      <c r="P67" s="8">
        <f>SUM('㈱塩釜:牡鹿'!P67)</f>
        <v>766.1678999999999</v>
      </c>
    </row>
    <row r="68" spans="1:16" ht="19.5" customHeight="1" thickBot="1">
      <c r="A68" s="51" t="s">
        <v>0</v>
      </c>
      <c r="B68" s="52" t="s">
        <v>116</v>
      </c>
      <c r="C68" s="52" t="s">
        <v>18</v>
      </c>
      <c r="D68" s="16">
        <f>SUM('㈱塩釜:牡鹿'!D68)</f>
        <v>8823.508400313312</v>
      </c>
      <c r="E68" s="16">
        <f>SUM('㈱塩釜:牡鹿'!E68)</f>
        <v>6011.398</v>
      </c>
      <c r="F68" s="16">
        <f>SUM('㈱塩釜:牡鹿'!F68)</f>
        <v>9197.734</v>
      </c>
      <c r="G68" s="16">
        <f>SUM('㈱塩釜:牡鹿'!G68)</f>
        <v>6375.537599736893</v>
      </c>
      <c r="H68" s="16">
        <f>SUM('㈱塩釜:牡鹿'!H68)</f>
        <v>7403.41140002142</v>
      </c>
      <c r="I68" s="16">
        <f>SUM('㈱塩釜:牡鹿'!I68)</f>
        <v>11226.405</v>
      </c>
      <c r="J68" s="16">
        <f>SUM('㈱塩釜:牡鹿'!J68)</f>
        <v>14646.078000000001</v>
      </c>
      <c r="K68" s="16">
        <f>SUM('㈱塩釜:牡鹿'!K68)</f>
        <v>11106.855</v>
      </c>
      <c r="L68" s="16">
        <f>SUM('㈱塩釜:牡鹿'!L68)</f>
        <v>8518.237199443436</v>
      </c>
      <c r="M68" s="16">
        <f>SUM('㈱塩釜:牡鹿'!M68)</f>
        <v>12997.234999421258</v>
      </c>
      <c r="N68" s="16">
        <f>SUM('㈱塩釜:牡鹿'!N68)</f>
        <v>4037.4278017582546</v>
      </c>
      <c r="O68" s="16">
        <f>SUM('㈱塩釜:牡鹿'!O68)</f>
        <v>3349.128998812011</v>
      </c>
      <c r="P68" s="10">
        <f>SUM('㈱塩釜:牡鹿'!P68)</f>
        <v>112793.78539950658</v>
      </c>
    </row>
    <row r="69" ht="19.5" customHeight="1">
      <c r="P69" s="11"/>
    </row>
    <row r="70" ht="19.5" customHeight="1">
      <c r="P70" s="11"/>
    </row>
    <row r="71" ht="19.5" customHeight="1">
      <c r="P71" s="11"/>
    </row>
    <row r="72" ht="19.5" customHeight="1">
      <c r="P72" s="11"/>
    </row>
    <row r="73" ht="19.5" customHeight="1">
      <c r="P73" s="11"/>
    </row>
    <row r="74" spans="1:16" ht="19.5" customHeight="1" thickBot="1">
      <c r="A74" s="12" t="s">
        <v>86</v>
      </c>
      <c r="B74" s="3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 t="s">
        <v>197</v>
      </c>
      <c r="P74" s="12"/>
    </row>
    <row r="75" spans="1:16" ht="19.5" customHeight="1">
      <c r="A75" s="49"/>
      <c r="B75" s="53"/>
      <c r="C75" s="53"/>
      <c r="D75" s="42" t="s">
        <v>2</v>
      </c>
      <c r="E75" s="42" t="s">
        <v>3</v>
      </c>
      <c r="F75" s="42" t="s">
        <v>4</v>
      </c>
      <c r="G75" s="42" t="s">
        <v>5</v>
      </c>
      <c r="H75" s="42" t="s">
        <v>6</v>
      </c>
      <c r="I75" s="42" t="s">
        <v>7</v>
      </c>
      <c r="J75" s="42" t="s">
        <v>8</v>
      </c>
      <c r="K75" s="42" t="s">
        <v>9</v>
      </c>
      <c r="L75" s="42" t="s">
        <v>10</v>
      </c>
      <c r="M75" s="42" t="s">
        <v>11</v>
      </c>
      <c r="N75" s="42" t="s">
        <v>12</v>
      </c>
      <c r="O75" s="42" t="s">
        <v>13</v>
      </c>
      <c r="P75" s="43" t="s">
        <v>14</v>
      </c>
    </row>
    <row r="76" spans="1:16" ht="19.5" customHeight="1">
      <c r="A76" s="45" t="s">
        <v>49</v>
      </c>
      <c r="B76" s="380" t="s">
        <v>208</v>
      </c>
      <c r="C76" s="54" t="s">
        <v>16</v>
      </c>
      <c r="D76" s="1">
        <f>SUM('㈱塩釜:牡鹿'!D76)</f>
        <v>680.6997</v>
      </c>
      <c r="E76" s="1">
        <f>SUM('㈱塩釜:牡鹿'!E76)</f>
        <v>735.3335</v>
      </c>
      <c r="F76" s="1">
        <f>SUM('㈱塩釜:牡鹿'!F76)</f>
        <v>877.4460000000001</v>
      </c>
      <c r="G76" s="1">
        <f>SUM('㈱塩釜:牡鹿'!G76)</f>
        <v>711.919</v>
      </c>
      <c r="H76" s="1">
        <f>SUM('㈱塩釜:牡鹿'!H76)</f>
        <v>745.2701999999999</v>
      </c>
      <c r="I76" s="1">
        <f>SUM('㈱塩釜:牡鹿'!I76)</f>
        <v>1223.182</v>
      </c>
      <c r="J76" s="1">
        <f>SUM('㈱塩釜:牡鹿'!J76)</f>
        <v>809.1895000000001</v>
      </c>
      <c r="K76" s="1">
        <f>SUM('㈱塩釜:牡鹿'!K76)</f>
        <v>755.6406999999999</v>
      </c>
      <c r="L76" s="1">
        <f>SUM('㈱塩釜:牡鹿'!L76)</f>
        <v>1357.2939</v>
      </c>
      <c r="M76" s="1">
        <f>SUM('㈱塩釜:牡鹿'!M76)</f>
        <v>1171.4614</v>
      </c>
      <c r="N76" s="1">
        <f>SUM('㈱塩釜:牡鹿'!N76)</f>
        <v>657.6982999999999</v>
      </c>
      <c r="O76" s="1">
        <f>SUM('㈱塩釜:牡鹿'!O76)</f>
        <v>596.7613000000001</v>
      </c>
      <c r="P76" s="8">
        <f>SUM('㈱塩釜:牡鹿'!P76)</f>
        <v>10348.645800000002</v>
      </c>
    </row>
    <row r="77" spans="1:16" ht="19.5" customHeight="1">
      <c r="A77" s="40" t="s">
        <v>51</v>
      </c>
      <c r="B77" s="381"/>
      <c r="C77" s="48" t="s">
        <v>18</v>
      </c>
      <c r="D77" s="2">
        <f>SUM('㈱塩釜:牡鹿'!D77)</f>
        <v>80591.77547237746</v>
      </c>
      <c r="E77" s="2">
        <f>SUM('㈱塩釜:牡鹿'!E77)</f>
        <v>92477.75925024485</v>
      </c>
      <c r="F77" s="2">
        <f>SUM('㈱塩釜:牡鹿'!F77)</f>
        <v>114762.88125089332</v>
      </c>
      <c r="G77" s="2">
        <f>SUM('㈱塩釜:牡鹿'!G77)</f>
        <v>88241.14023080566</v>
      </c>
      <c r="H77" s="2">
        <f>SUM('㈱塩釜:牡鹿'!H77)</f>
        <v>92813.69616036855</v>
      </c>
      <c r="I77" s="2">
        <f>SUM('㈱塩釜:牡鹿'!I77)</f>
        <v>151304.0828004396</v>
      </c>
      <c r="J77" s="2">
        <f>SUM('㈱塩釜:牡鹿'!J77)</f>
        <v>111498.77379958086</v>
      </c>
      <c r="K77" s="2">
        <f>SUM('㈱塩釜:牡鹿'!K77)</f>
        <v>112064.5427992331</v>
      </c>
      <c r="L77" s="2">
        <f>SUM('㈱塩釜:牡鹿'!L77)</f>
        <v>169173.0019436267</v>
      </c>
      <c r="M77" s="2">
        <f>SUM('㈱塩釜:牡鹿'!M77)</f>
        <v>114830.13949859717</v>
      </c>
      <c r="N77" s="2">
        <f>SUM('㈱塩釜:牡鹿'!N77)</f>
        <v>62650.400848841695</v>
      </c>
      <c r="O77" s="2">
        <f>SUM('㈱塩釜:牡鹿'!O77)</f>
        <v>72939.18219201236</v>
      </c>
      <c r="P77" s="9">
        <f>SUM('㈱塩釜:牡鹿'!P77)</f>
        <v>1283461.2432470215</v>
      </c>
    </row>
    <row r="78" spans="1:16" ht="19.5" customHeight="1">
      <c r="A78" s="45" t="s">
        <v>0</v>
      </c>
      <c r="B78" s="382" t="s">
        <v>54</v>
      </c>
      <c r="C78" s="54" t="s">
        <v>16</v>
      </c>
      <c r="D78" s="1">
        <f>SUM('㈱塩釜:牡鹿'!D78)</f>
        <v>31.656299999999998</v>
      </c>
      <c r="E78" s="1">
        <f>SUM('㈱塩釜:牡鹿'!E78)</f>
        <v>34.130700000000004</v>
      </c>
      <c r="F78" s="1">
        <f>SUM('㈱塩釜:牡鹿'!F78)</f>
        <v>32.4266</v>
      </c>
      <c r="G78" s="1">
        <f>SUM('㈱塩釜:牡鹿'!G78)</f>
        <v>42.89450000000001</v>
      </c>
      <c r="H78" s="1">
        <f>SUM('㈱塩釜:牡鹿'!H78)</f>
        <v>103.8415</v>
      </c>
      <c r="I78" s="1">
        <f>SUM('㈱塩釜:牡鹿'!I78)</f>
        <v>390.78035</v>
      </c>
      <c r="J78" s="1">
        <f>SUM('㈱塩釜:牡鹿'!J78)</f>
        <v>367.70506000000006</v>
      </c>
      <c r="K78" s="1">
        <f>SUM('㈱塩釜:牡鹿'!K78)</f>
        <v>149.50310000000002</v>
      </c>
      <c r="L78" s="1">
        <f>SUM('㈱塩釜:牡鹿'!L78)</f>
        <v>86.59679999999999</v>
      </c>
      <c r="M78" s="1">
        <f>SUM('㈱塩釜:牡鹿'!M78)</f>
        <v>133.84403000000003</v>
      </c>
      <c r="N78" s="1">
        <f>SUM('㈱塩釜:牡鹿'!N78)</f>
        <v>119.41253999999999</v>
      </c>
      <c r="O78" s="1">
        <f>SUM('㈱塩釜:牡鹿'!O78)</f>
        <v>75.86739</v>
      </c>
      <c r="P78" s="8">
        <f>SUM('㈱塩釜:牡鹿'!P78)</f>
        <v>1568.65887</v>
      </c>
    </row>
    <row r="79" spans="1:16" ht="19.5" customHeight="1">
      <c r="A79" s="45" t="s">
        <v>34</v>
      </c>
      <c r="B79" s="383"/>
      <c r="C79" s="48" t="s">
        <v>18</v>
      </c>
      <c r="D79" s="2">
        <f>SUM('㈱塩釜:牡鹿'!D79)</f>
        <v>27538.751317914586</v>
      </c>
      <c r="E79" s="2">
        <f>SUM('㈱塩釜:牡鹿'!E79)</f>
        <v>27877.231760979805</v>
      </c>
      <c r="F79" s="2">
        <f>SUM('㈱塩釜:牡鹿'!F79)</f>
        <v>31880.86784072584</v>
      </c>
      <c r="G79" s="2">
        <f>SUM('㈱塩釜:牡鹿'!G79)</f>
        <v>36521.59175207259</v>
      </c>
      <c r="H79" s="2">
        <f>SUM('㈱塩釜:牡鹿'!H79)</f>
        <v>69324.66486319246</v>
      </c>
      <c r="I79" s="2">
        <f>SUM('㈱塩釜:牡鹿'!I79)</f>
        <v>145577.18481821613</v>
      </c>
      <c r="J79" s="2">
        <f>SUM('㈱塩釜:牡鹿'!J79)</f>
        <v>196348.083100196</v>
      </c>
      <c r="K79" s="2">
        <f>SUM('㈱塩釜:牡鹿'!K79)</f>
        <v>146771.35018974403</v>
      </c>
      <c r="L79" s="2">
        <f>SUM('㈱塩釜:牡鹿'!L79)</f>
        <v>91708.28514593824</v>
      </c>
      <c r="M79" s="2">
        <f>SUM('㈱塩釜:牡鹿'!M79)</f>
        <v>107248.93354650216</v>
      </c>
      <c r="N79" s="2">
        <f>SUM('㈱塩釜:牡鹿'!N79)</f>
        <v>76049.307836691</v>
      </c>
      <c r="O79" s="2">
        <f>SUM('㈱塩釜:牡鹿'!O79)</f>
        <v>69917.14564888872</v>
      </c>
      <c r="P79" s="9">
        <f>SUM('㈱塩釜:牡鹿'!P79)</f>
        <v>1026763.3978210615</v>
      </c>
    </row>
    <row r="80" spans="1:16" ht="19.5" customHeight="1">
      <c r="A80" s="45" t="s">
        <v>0</v>
      </c>
      <c r="B80" s="382" t="s">
        <v>55</v>
      </c>
      <c r="C80" s="54" t="s">
        <v>16</v>
      </c>
      <c r="D80" s="1">
        <f>SUM('㈱塩釜:牡鹿'!D80)</f>
        <v>0.0584</v>
      </c>
      <c r="E80" s="1">
        <f>SUM('㈱塩釜:牡鹿'!E80)</f>
        <v>1.3302</v>
      </c>
      <c r="F80" s="1">
        <f>SUM('㈱塩釜:牡鹿'!F80)</f>
        <v>5.0632</v>
      </c>
      <c r="G80" s="1">
        <f>SUM('㈱塩釜:牡鹿'!G80)</f>
        <v>2.3750999999999998</v>
      </c>
      <c r="H80" s="1">
        <f>SUM('㈱塩釜:牡鹿'!H80)</f>
        <v>0.49510000000000004</v>
      </c>
      <c r="I80" s="1">
        <f>SUM('㈱塩釜:牡鹿'!I80)</f>
        <v>2.3637999999999995</v>
      </c>
      <c r="J80" s="1">
        <f>SUM('㈱塩釜:牡鹿'!J80)</f>
        <v>0.048</v>
      </c>
      <c r="K80" s="1">
        <f>SUM('㈱塩釜:牡鹿'!K80)</f>
        <v>0.07100000000000001</v>
      </c>
      <c r="L80" s="1">
        <f>SUM('㈱塩釜:牡鹿'!L80)</f>
        <v>2.0936</v>
      </c>
      <c r="M80" s="1">
        <f>SUM('㈱塩釜:牡鹿'!M80)</f>
        <v>0.6636</v>
      </c>
      <c r="N80" s="1">
        <f>SUM('㈱塩釜:牡鹿'!N80)</f>
        <v>0.01</v>
      </c>
      <c r="O80" s="1">
        <f>SUM('㈱塩釜:牡鹿'!O80)</f>
        <v>0.0964</v>
      </c>
      <c r="P80" s="8">
        <f>SUM('㈱塩釜:牡鹿'!P80)</f>
        <v>14.668400000000002</v>
      </c>
    </row>
    <row r="81" spans="1:16" ht="19.5" customHeight="1">
      <c r="A81" s="45" t="s">
        <v>0</v>
      </c>
      <c r="B81" s="383"/>
      <c r="C81" s="48" t="s">
        <v>18</v>
      </c>
      <c r="D81" s="2">
        <f>SUM('㈱塩釜:牡鹿'!D81)</f>
        <v>7.218</v>
      </c>
      <c r="E81" s="2">
        <f>SUM('㈱塩釜:牡鹿'!E81)</f>
        <v>169.47</v>
      </c>
      <c r="F81" s="2">
        <f>SUM('㈱塩釜:牡鹿'!F81)</f>
        <v>629.822</v>
      </c>
      <c r="G81" s="2">
        <f>SUM('㈱塩釜:牡鹿'!G81)</f>
        <v>322.53200000000004</v>
      </c>
      <c r="H81" s="2">
        <f>SUM('㈱塩釜:牡鹿'!H81)</f>
        <v>58.036</v>
      </c>
      <c r="I81" s="2">
        <f>SUM('㈱塩釜:牡鹿'!I81)</f>
        <v>230.25</v>
      </c>
      <c r="J81" s="2">
        <f>SUM('㈱塩釜:牡鹿'!J81)</f>
        <v>5.616</v>
      </c>
      <c r="K81" s="2">
        <f>SUM('㈱塩釜:牡鹿'!K81)</f>
        <v>18.387</v>
      </c>
      <c r="L81" s="2">
        <f>SUM('㈱塩釜:牡鹿'!L81)</f>
        <v>303.102</v>
      </c>
      <c r="M81" s="2">
        <f>SUM('㈱塩釜:牡鹿'!M81)</f>
        <v>75.213</v>
      </c>
      <c r="N81" s="2">
        <f>SUM('㈱塩釜:牡鹿'!N81)</f>
        <v>0.821</v>
      </c>
      <c r="O81" s="2">
        <f>SUM('㈱塩釜:牡鹿'!O81)</f>
        <v>15.187</v>
      </c>
      <c r="P81" s="9">
        <f>SUM('㈱塩釜:牡鹿'!P81)</f>
        <v>1835.6540000000002</v>
      </c>
    </row>
    <row r="82" spans="1:16" ht="19.5" customHeight="1">
      <c r="A82" s="45" t="s">
        <v>56</v>
      </c>
      <c r="B82" s="47" t="s">
        <v>182</v>
      </c>
      <c r="C82" s="54" t="s">
        <v>16</v>
      </c>
      <c r="D82" s="1"/>
      <c r="E82" s="1"/>
      <c r="F82" s="1"/>
      <c r="G82" s="1"/>
      <c r="H82" s="1"/>
      <c r="I82" s="1">
        <f>SUM('㈱塩釜:牡鹿'!I82)</f>
        <v>66.4706</v>
      </c>
      <c r="J82" s="1"/>
      <c r="K82" s="1">
        <f>SUM('㈱塩釜:牡鹿'!K82)</f>
        <v>0.844</v>
      </c>
      <c r="L82" s="1"/>
      <c r="M82" s="1">
        <f>SUM('㈱塩釜:牡鹿'!M82)</f>
        <v>20.6232</v>
      </c>
      <c r="N82" s="1">
        <f>SUM('㈱塩釜:牡鹿'!N82)</f>
        <v>4.022</v>
      </c>
      <c r="O82" s="1"/>
      <c r="P82" s="8">
        <f>SUM('㈱塩釜:牡鹿'!P82)</f>
        <v>91.9598</v>
      </c>
    </row>
    <row r="83" spans="1:16" ht="19.5" customHeight="1">
      <c r="A83" s="45"/>
      <c r="B83" s="48" t="s">
        <v>164</v>
      </c>
      <c r="C83" s="48" t="s">
        <v>18</v>
      </c>
      <c r="D83" s="2"/>
      <c r="E83" s="2"/>
      <c r="F83" s="2"/>
      <c r="G83" s="2"/>
      <c r="H83" s="2"/>
      <c r="I83" s="2">
        <f>SUM('㈱塩釜:牡鹿'!I83)</f>
        <v>53341.998</v>
      </c>
      <c r="J83" s="2"/>
      <c r="K83" s="2">
        <f>SUM('㈱塩釜:牡鹿'!K83)</f>
        <v>560.256</v>
      </c>
      <c r="L83" s="2"/>
      <c r="M83" s="2">
        <f>SUM('㈱塩釜:牡鹿'!M83)</f>
        <v>18818.527000000002</v>
      </c>
      <c r="N83" s="2">
        <f>SUM('㈱塩釜:牡鹿'!N83)</f>
        <v>2958.101</v>
      </c>
      <c r="O83" s="2"/>
      <c r="P83" s="9">
        <f>SUM('㈱塩釜:牡鹿'!P83)</f>
        <v>75678.882</v>
      </c>
    </row>
    <row r="84" spans="1:16" ht="19.5" customHeight="1">
      <c r="A84" s="45"/>
      <c r="B84" s="382" t="s">
        <v>59</v>
      </c>
      <c r="C84" s="54" t="s">
        <v>16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8"/>
    </row>
    <row r="85" spans="1:16" ht="19.5" customHeight="1">
      <c r="A85" s="45" t="s">
        <v>17</v>
      </c>
      <c r="B85" s="383"/>
      <c r="C85" s="48" t="s">
        <v>18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"/>
    </row>
    <row r="86" spans="1:16" ht="19.5" customHeight="1">
      <c r="A86" s="45"/>
      <c r="B86" s="47" t="s">
        <v>20</v>
      </c>
      <c r="C86" s="54" t="s">
        <v>16</v>
      </c>
      <c r="D86" s="1">
        <f>SUM('㈱塩釜:牡鹿'!D86)</f>
        <v>114.39490000000002</v>
      </c>
      <c r="E86" s="1">
        <f>SUM('㈱塩釜:牡鹿'!E86)</f>
        <v>107.0123</v>
      </c>
      <c r="F86" s="1">
        <f>SUM('㈱塩釜:牡鹿'!F86)</f>
        <v>139.82958</v>
      </c>
      <c r="G86" s="1">
        <f>SUM('㈱塩釜:牡鹿'!G86)</f>
        <v>266.6932</v>
      </c>
      <c r="H86" s="1">
        <f>SUM('㈱塩釜:牡鹿'!H86)</f>
        <v>161.89246</v>
      </c>
      <c r="I86" s="1">
        <f>SUM('㈱塩釜:牡鹿'!I86)</f>
        <v>183.943</v>
      </c>
      <c r="J86" s="1">
        <f>SUM('㈱塩釜:牡鹿'!J86)</f>
        <v>106.73549999999999</v>
      </c>
      <c r="K86" s="1">
        <f>SUM('㈱塩釜:牡鹿'!K86)</f>
        <v>116.38449999999997</v>
      </c>
      <c r="L86" s="1">
        <f>SUM('㈱塩釜:牡鹿'!L86)</f>
        <v>250.8229</v>
      </c>
      <c r="M86" s="1">
        <f>SUM('㈱塩釜:牡鹿'!M86)</f>
        <v>178.36300000000003</v>
      </c>
      <c r="N86" s="1">
        <f>SUM('㈱塩釜:牡鹿'!N86)</f>
        <v>142.86747999999997</v>
      </c>
      <c r="O86" s="1">
        <f>SUM('㈱塩釜:牡鹿'!O86)</f>
        <v>130.76046000000002</v>
      </c>
      <c r="P86" s="8">
        <f>SUM('㈱塩釜:牡鹿'!P86)</f>
        <v>1899.6992800000005</v>
      </c>
    </row>
    <row r="87" spans="1:16" ht="19.5" customHeight="1">
      <c r="A87" s="45"/>
      <c r="B87" s="48" t="s">
        <v>155</v>
      </c>
      <c r="C87" s="48" t="s">
        <v>18</v>
      </c>
      <c r="D87" s="2">
        <f>SUM('㈱塩釜:牡鹿'!D87)</f>
        <v>47871.92795930743</v>
      </c>
      <c r="E87" s="2">
        <f>SUM('㈱塩釜:牡鹿'!E87)</f>
        <v>43380.55340891775</v>
      </c>
      <c r="F87" s="2">
        <f>SUM('㈱塩釜:牡鹿'!F87)</f>
        <v>59566.629195687994</v>
      </c>
      <c r="G87" s="2">
        <f>SUM('㈱塩釜:牡鹿'!G87)</f>
        <v>94001.74230332192</v>
      </c>
      <c r="H87" s="2">
        <f>SUM('㈱塩釜:牡鹿'!H87)</f>
        <v>52414.519352914</v>
      </c>
      <c r="I87" s="2">
        <f>SUM('㈱塩釜:牡鹿'!I87)</f>
        <v>55668.841490277446</v>
      </c>
      <c r="J87" s="2">
        <f>SUM('㈱塩釜:牡鹿'!J87)</f>
        <v>52884.03466347355</v>
      </c>
      <c r="K87" s="2">
        <f>SUM('㈱塩釜:牡鹿'!K87)</f>
        <v>56284.134439908135</v>
      </c>
      <c r="L87" s="2">
        <f>SUM('㈱塩釜:牡鹿'!L87)</f>
        <v>88173.23600609372</v>
      </c>
      <c r="M87" s="2">
        <f>SUM('㈱塩釜:牡鹿'!M87)</f>
        <v>85195.2331904116</v>
      </c>
      <c r="N87" s="2">
        <f>SUM('㈱塩釜:牡鹿'!N87)</f>
        <v>52325.950709434255</v>
      </c>
      <c r="O87" s="2">
        <f>SUM('㈱塩釜:牡鹿'!O87)</f>
        <v>72588.24474482678</v>
      </c>
      <c r="P87" s="9">
        <f>SUM('㈱塩釜:牡鹿'!P87)</f>
        <v>760355.0474645749</v>
      </c>
    </row>
    <row r="88" spans="1:16" ht="19.5" customHeight="1">
      <c r="A88" s="45" t="s">
        <v>23</v>
      </c>
      <c r="B88" s="380" t="s">
        <v>194</v>
      </c>
      <c r="C88" s="54" t="s">
        <v>16</v>
      </c>
      <c r="D88" s="1">
        <f>SUM('㈱塩釜:牡鹿'!D88)</f>
        <v>146.1096</v>
      </c>
      <c r="E88" s="1">
        <f>SUM('㈱塩釜:牡鹿'!E88)</f>
        <v>142.4732</v>
      </c>
      <c r="F88" s="1">
        <f>SUM('㈱塩釜:牡鹿'!F88)</f>
        <v>177.31938000000002</v>
      </c>
      <c r="G88" s="1">
        <f>SUM('㈱塩釜:牡鹿'!G88)</f>
        <v>311.9628000000001</v>
      </c>
      <c r="H88" s="1">
        <f>SUM('㈱塩釜:牡鹿'!H88)</f>
        <v>266.22905999999995</v>
      </c>
      <c r="I88" s="1">
        <f>SUM('㈱塩釜:牡鹿'!I88)</f>
        <v>643.55775</v>
      </c>
      <c r="J88" s="1">
        <f>SUM('㈱塩釜:牡鹿'!J88)</f>
        <v>474.48856</v>
      </c>
      <c r="K88" s="1">
        <f>SUM('㈱塩釜:牡鹿'!K88)</f>
        <v>266.8025999999999</v>
      </c>
      <c r="L88" s="1">
        <f>SUM('㈱塩釜:牡鹿'!L88)</f>
        <v>339.51329999999996</v>
      </c>
      <c r="M88" s="1">
        <f>SUM('㈱塩釜:牡鹿'!M88)</f>
        <v>333.49383</v>
      </c>
      <c r="N88" s="1">
        <f>SUM('㈱塩釜:牡鹿'!N88)</f>
        <v>266.31202</v>
      </c>
      <c r="O88" s="1">
        <f>SUM('㈱塩釜:牡鹿'!O88)</f>
        <v>206.72424999999998</v>
      </c>
      <c r="P88" s="8">
        <f>SUM('㈱塩釜:牡鹿'!P88)</f>
        <v>3574.986350000001</v>
      </c>
    </row>
    <row r="89" spans="1:16" ht="19.5" customHeight="1">
      <c r="A89" s="40"/>
      <c r="B89" s="381"/>
      <c r="C89" s="48" t="s">
        <v>18</v>
      </c>
      <c r="D89" s="2">
        <f>SUM('㈱塩釜:牡鹿'!D89)</f>
        <v>75417.89727722201</v>
      </c>
      <c r="E89" s="2">
        <f>SUM('㈱塩釜:牡鹿'!E89)</f>
        <v>71427.25516989756</v>
      </c>
      <c r="F89" s="2">
        <f>SUM('㈱塩釜:牡鹿'!F89)</f>
        <v>92077.31903641384</v>
      </c>
      <c r="G89" s="2">
        <f>SUM('㈱塩釜:牡鹿'!G89)</f>
        <v>130845.86605539455</v>
      </c>
      <c r="H89" s="2">
        <f>SUM('㈱塩釜:牡鹿'!H89)</f>
        <v>121797.22021610648</v>
      </c>
      <c r="I89" s="2">
        <f>SUM('㈱塩釜:牡鹿'!I89)</f>
        <v>254818.2743084936</v>
      </c>
      <c r="J89" s="2">
        <f>SUM('㈱塩釜:牡鹿'!J89)</f>
        <v>249237.73376366956</v>
      </c>
      <c r="K89" s="2">
        <f>SUM('㈱塩釜:牡鹿'!K89)</f>
        <v>203634.1276296522</v>
      </c>
      <c r="L89" s="2">
        <f>SUM('㈱塩釜:牡鹿'!L89)</f>
        <v>180184.62315203197</v>
      </c>
      <c r="M89" s="2">
        <f>SUM('㈱塩釜:牡鹿'!M89)</f>
        <v>211337.90673691375</v>
      </c>
      <c r="N89" s="2">
        <f>SUM('㈱塩釜:牡鹿'!N89)</f>
        <v>131334.18054612525</v>
      </c>
      <c r="O89" s="2">
        <f>SUM('㈱塩釜:牡鹿'!O89)</f>
        <v>142520.57739371553</v>
      </c>
      <c r="P89" s="9">
        <f>SUM('㈱塩釜:牡鹿'!P89)</f>
        <v>1864632.9812856358</v>
      </c>
    </row>
    <row r="90" spans="1:16" ht="19.5" customHeight="1">
      <c r="A90" s="376" t="s">
        <v>184</v>
      </c>
      <c r="B90" s="377"/>
      <c r="C90" s="54" t="s">
        <v>16</v>
      </c>
      <c r="D90" s="1">
        <f>SUM('㈱塩釜:牡鹿'!D90)</f>
        <v>13.9871</v>
      </c>
      <c r="E90" s="1">
        <f>SUM('㈱塩釜:牡鹿'!E90)</f>
        <v>9.3172</v>
      </c>
      <c r="F90" s="1">
        <f>SUM('㈱塩釜:牡鹿'!F90)</f>
        <v>5.700300000000001</v>
      </c>
      <c r="G90" s="1">
        <f>SUM('㈱塩釜:牡鹿'!G90)</f>
        <v>7.1131</v>
      </c>
      <c r="H90" s="1">
        <f>SUM('㈱塩釜:牡鹿'!H90)</f>
        <v>7.0129</v>
      </c>
      <c r="I90" s="1">
        <f>SUM('㈱塩釜:牡鹿'!I90)</f>
        <v>28.9853</v>
      </c>
      <c r="J90" s="1">
        <f>SUM('㈱塩釜:牡鹿'!J90)</f>
        <v>51.955799999999996</v>
      </c>
      <c r="K90" s="1">
        <f>SUM('㈱塩釜:牡鹿'!K90)</f>
        <v>42.6775</v>
      </c>
      <c r="L90" s="1">
        <f>SUM('㈱塩釜:牡鹿'!L90)</f>
        <v>50.058</v>
      </c>
      <c r="M90" s="1">
        <f>SUM('㈱塩釜:牡鹿'!M90)</f>
        <v>41.9703</v>
      </c>
      <c r="N90" s="1">
        <f>SUM('㈱塩釜:牡鹿'!N90)</f>
        <v>54.88199999999999</v>
      </c>
      <c r="O90" s="1">
        <f>SUM('㈱塩釜:牡鹿'!O90)</f>
        <v>36.8286</v>
      </c>
      <c r="P90" s="8">
        <f>SUM('㈱塩釜:牡鹿'!P90)</f>
        <v>350.4881</v>
      </c>
    </row>
    <row r="91" spans="1:16" ht="19.5" customHeight="1">
      <c r="A91" s="378"/>
      <c r="B91" s="379"/>
      <c r="C91" s="48" t="s">
        <v>18</v>
      </c>
      <c r="D91" s="2">
        <f>SUM('㈱塩釜:牡鹿'!D91)</f>
        <v>12755.264486626687</v>
      </c>
      <c r="E91" s="2">
        <f>SUM('㈱塩釜:牡鹿'!E91)</f>
        <v>11119.023659380266</v>
      </c>
      <c r="F91" s="2">
        <f>SUM('㈱塩釜:牡鹿'!F91)</f>
        <v>9541.292001372774</v>
      </c>
      <c r="G91" s="2">
        <f>SUM('㈱塩釜:牡鹿'!G91)</f>
        <v>10563.074997199854</v>
      </c>
      <c r="H91" s="2">
        <f>SUM('㈱塩釜:牡鹿'!H91)</f>
        <v>10076.039207163654</v>
      </c>
      <c r="I91" s="2">
        <f>SUM('㈱塩釜:牡鹿'!I91)</f>
        <v>31259.70921810124</v>
      </c>
      <c r="J91" s="2">
        <f>SUM('㈱塩釜:牡鹿'!J91)</f>
        <v>51820.04319683792</v>
      </c>
      <c r="K91" s="2">
        <f>SUM('㈱塩釜:牡鹿'!K91)</f>
        <v>47059.836998258674</v>
      </c>
      <c r="L91" s="2">
        <f>SUM('㈱塩釜:牡鹿'!L91)</f>
        <v>43725.67179244166</v>
      </c>
      <c r="M91" s="2">
        <f>SUM('㈱塩釜:牡鹿'!M91)</f>
        <v>37886.581998160356</v>
      </c>
      <c r="N91" s="2">
        <f>SUM('㈱塩釜:牡鹿'!N91)</f>
        <v>41242.77681288274</v>
      </c>
      <c r="O91" s="2">
        <f>SUM('㈱塩釜:牡鹿'!O91)</f>
        <v>37245.44479086175</v>
      </c>
      <c r="P91" s="9">
        <f>SUM('㈱塩釜:牡鹿'!P91)</f>
        <v>344294.7591592876</v>
      </c>
    </row>
    <row r="92" spans="1:16" ht="19.5" customHeight="1">
      <c r="A92" s="376" t="s">
        <v>185</v>
      </c>
      <c r="B92" s="377"/>
      <c r="C92" s="54" t="s">
        <v>16</v>
      </c>
      <c r="D92" s="1">
        <f>SUM('㈱塩釜:牡鹿'!D92)</f>
        <v>0.0012</v>
      </c>
      <c r="E92" s="1">
        <f>SUM('㈱塩釜:牡鹿'!E92)</f>
        <v>24.741</v>
      </c>
      <c r="F92" s="1">
        <f>SUM('㈱塩釜:牡鹿'!F92)</f>
        <v>749.0905</v>
      </c>
      <c r="G92" s="1">
        <f>SUM('㈱塩釜:牡鹿'!G92)</f>
        <v>2076.6888</v>
      </c>
      <c r="H92" s="1">
        <f>SUM('㈱塩釜:牡鹿'!H92)</f>
        <v>1029.1195</v>
      </c>
      <c r="I92" s="1">
        <f>SUM('㈱塩釜:牡鹿'!I92)</f>
        <v>16.433500000000002</v>
      </c>
      <c r="J92" s="1">
        <f>SUM('㈱塩釜:牡鹿'!J92)</f>
        <v>15.368500000000001</v>
      </c>
      <c r="K92" s="1">
        <f>SUM('㈱塩釜:牡鹿'!K92)</f>
        <v>8.514999999999999</v>
      </c>
      <c r="L92" s="1">
        <f>SUM('㈱塩釜:牡鹿'!L92)</f>
        <v>31.3</v>
      </c>
      <c r="M92" s="1">
        <f>SUM('㈱塩釜:牡鹿'!M92)</f>
        <v>98.05</v>
      </c>
      <c r="N92" s="1">
        <f>SUM('㈱塩釜:牡鹿'!N92)</f>
        <v>0.2</v>
      </c>
      <c r="O92" s="1">
        <f>SUM('㈱塩釜:牡鹿'!O92)</f>
        <v>75.85</v>
      </c>
      <c r="P92" s="8">
        <f>SUM('㈱塩釜:牡鹿'!P92)</f>
        <v>4125.358</v>
      </c>
    </row>
    <row r="93" spans="1:16" ht="19.5" customHeight="1">
      <c r="A93" s="378"/>
      <c r="B93" s="379"/>
      <c r="C93" s="48" t="s">
        <v>18</v>
      </c>
      <c r="D93" s="2">
        <f>SUM('㈱塩釜:牡鹿'!D93)</f>
        <v>12.643</v>
      </c>
      <c r="E93" s="2">
        <f>SUM('㈱塩釜:牡鹿'!E93)</f>
        <v>2446.4900000000002</v>
      </c>
      <c r="F93" s="2">
        <f>SUM('㈱塩釜:牡鹿'!F93)</f>
        <v>73237.542</v>
      </c>
      <c r="G93" s="2">
        <f>SUM('㈱塩釜:牡鹿'!G93)</f>
        <v>333352.93400000007</v>
      </c>
      <c r="H93" s="2">
        <f>SUM('㈱塩釜:牡鹿'!H93)</f>
        <v>81739</v>
      </c>
      <c r="I93" s="2">
        <f>SUM('㈱塩釜:牡鹿'!I93)</f>
        <v>1039.573</v>
      </c>
      <c r="J93" s="2">
        <f>SUM('㈱塩釜:牡鹿'!J93)</f>
        <v>862.8789999999999</v>
      </c>
      <c r="K93" s="2">
        <f>SUM('㈱塩釜:牡鹿'!K93)</f>
        <v>782.177</v>
      </c>
      <c r="L93" s="2">
        <f>SUM('㈱塩釜:牡鹿'!L93)</f>
        <v>1498.1760000000002</v>
      </c>
      <c r="M93" s="2">
        <f>SUM('㈱塩釜:牡鹿'!M93)</f>
        <v>4739.8769999999995</v>
      </c>
      <c r="N93" s="2">
        <f>SUM('㈱塩釜:牡鹿'!N93)</f>
        <v>64.8</v>
      </c>
      <c r="O93" s="2">
        <f>SUM('㈱塩釜:牡鹿'!O93)</f>
        <v>3632.04</v>
      </c>
      <c r="P93" s="9">
        <f>SUM('㈱塩釜:牡鹿'!P93)</f>
        <v>503408.131</v>
      </c>
    </row>
    <row r="94" spans="1:16" ht="19.5" customHeight="1">
      <c r="A94" s="376" t="s">
        <v>62</v>
      </c>
      <c r="B94" s="377"/>
      <c r="C94" s="54" t="s">
        <v>16</v>
      </c>
      <c r="D94" s="1">
        <f>SUM('㈱塩釜:牡鹿'!D94)</f>
        <v>0.0585</v>
      </c>
      <c r="E94" s="1">
        <f>SUM('㈱塩釜:牡鹿'!E94)</f>
        <v>0.0338</v>
      </c>
      <c r="F94" s="1">
        <f>SUM('㈱塩釜:牡鹿'!F94)</f>
        <v>0.2463</v>
      </c>
      <c r="G94" s="1">
        <f>SUM('㈱塩釜:牡鹿'!G94)</f>
        <v>0.3552</v>
      </c>
      <c r="H94" s="1">
        <f>SUM('㈱塩釜:牡鹿'!H94)</f>
        <v>0.0713</v>
      </c>
      <c r="I94" s="1">
        <f>SUM('㈱塩釜:牡鹿'!I94)</f>
        <v>0.3238</v>
      </c>
      <c r="J94" s="1">
        <f>SUM('㈱塩釜:牡鹿'!J94)</f>
        <v>0.0052</v>
      </c>
      <c r="K94" s="1">
        <f>SUM('㈱塩釜:牡鹿'!K94)</f>
        <v>0.017599999999999998</v>
      </c>
      <c r="L94" s="1">
        <f>SUM('㈱塩釜:牡鹿'!L94)</f>
        <v>0.4163</v>
      </c>
      <c r="M94" s="1">
        <f>SUM('㈱塩釜:牡鹿'!M94)</f>
        <v>0.0072</v>
      </c>
      <c r="N94" s="1">
        <f>SUM('㈱塩釜:牡鹿'!N94)</f>
        <v>0.047599999999999996</v>
      </c>
      <c r="O94" s="1">
        <f>SUM('㈱塩釜:牡鹿'!O94)</f>
        <v>0.0104</v>
      </c>
      <c r="P94" s="8">
        <f>SUM('㈱塩釜:牡鹿'!P94)</f>
        <v>1.5932</v>
      </c>
    </row>
    <row r="95" spans="1:16" ht="19.5" customHeight="1">
      <c r="A95" s="378"/>
      <c r="B95" s="379"/>
      <c r="C95" s="48" t="s">
        <v>18</v>
      </c>
      <c r="D95" s="2">
        <f>SUM('㈱塩釜:牡鹿'!D95)</f>
        <v>152.513</v>
      </c>
      <c r="E95" s="2">
        <f>SUM('㈱塩釜:牡鹿'!E95)</f>
        <v>84.63</v>
      </c>
      <c r="F95" s="2">
        <f>SUM('㈱塩釜:牡鹿'!F95)</f>
        <v>217.193</v>
      </c>
      <c r="G95" s="2">
        <f>SUM('㈱塩釜:牡鹿'!G95)</f>
        <v>246.926</v>
      </c>
      <c r="H95" s="2">
        <f>SUM('㈱塩釜:牡鹿'!H95)</f>
        <v>185.24099999999999</v>
      </c>
      <c r="I95" s="2">
        <f>SUM('㈱塩釜:牡鹿'!I95)</f>
        <v>238.615</v>
      </c>
      <c r="J95" s="2">
        <f>SUM('㈱塩釜:牡鹿'!J95)</f>
        <v>6.199</v>
      </c>
      <c r="K95" s="2">
        <f>SUM('㈱塩釜:牡鹿'!K95)</f>
        <v>44.907000000000004</v>
      </c>
      <c r="L95" s="2">
        <f>SUM('㈱塩釜:牡鹿'!L95)</f>
        <v>629.547</v>
      </c>
      <c r="M95" s="2">
        <f>SUM('㈱塩釜:牡鹿'!M95)</f>
        <v>17.570999999999998</v>
      </c>
      <c r="N95" s="2">
        <f>SUM('㈱塩釜:牡鹿'!N95)</f>
        <v>17.366</v>
      </c>
      <c r="O95" s="2">
        <f>SUM('㈱塩釜:牡鹿'!O95)</f>
        <v>34.696</v>
      </c>
      <c r="P95" s="9">
        <f>SUM('㈱塩釜:牡鹿'!P95)</f>
        <v>1875.404</v>
      </c>
    </row>
    <row r="96" spans="1:16" ht="19.5" customHeight="1">
      <c r="A96" s="376" t="s">
        <v>187</v>
      </c>
      <c r="B96" s="377"/>
      <c r="C96" s="54" t="s">
        <v>16</v>
      </c>
      <c r="D96" s="1">
        <f>SUM('㈱塩釜:牡鹿'!D96)</f>
        <v>1.6988</v>
      </c>
      <c r="E96" s="1">
        <f>SUM('㈱塩釜:牡鹿'!E96)</f>
        <v>11.3448</v>
      </c>
      <c r="F96" s="1">
        <f>SUM('㈱塩釜:牡鹿'!F96)</f>
        <v>7.3693</v>
      </c>
      <c r="G96" s="1">
        <f>SUM('㈱塩釜:牡鹿'!G96)</f>
        <v>4.909000000000001</v>
      </c>
      <c r="H96" s="1">
        <f>SUM('㈱塩釜:牡鹿'!H96)</f>
        <v>10.305599999999998</v>
      </c>
      <c r="I96" s="1">
        <f>SUM('㈱塩釜:牡鹿'!I96)</f>
        <v>24.7651</v>
      </c>
      <c r="J96" s="1">
        <f>SUM('㈱塩釜:牡鹿'!J96)</f>
        <v>1.411</v>
      </c>
      <c r="K96" s="1">
        <f>SUM('㈱塩釜:牡鹿'!K96)</f>
        <v>1.322</v>
      </c>
      <c r="L96" s="1">
        <f>SUM('㈱塩釜:牡鹿'!L96)</f>
        <v>13.593</v>
      </c>
      <c r="M96" s="1">
        <f>SUM('㈱塩釜:牡鹿'!M96)</f>
        <v>7.3341</v>
      </c>
      <c r="N96" s="1">
        <f>SUM('㈱塩釜:牡鹿'!N96)</f>
        <v>0.8820000000000001</v>
      </c>
      <c r="O96" s="1">
        <f>SUM('㈱塩釜:牡鹿'!O96)</f>
        <v>1.8594000000000002</v>
      </c>
      <c r="P96" s="8">
        <f>SUM('㈱塩釜:牡鹿'!P96)</f>
        <v>86.79409999999999</v>
      </c>
    </row>
    <row r="97" spans="1:16" ht="19.5" customHeight="1">
      <c r="A97" s="378"/>
      <c r="B97" s="379"/>
      <c r="C97" s="48" t="s">
        <v>18</v>
      </c>
      <c r="D97" s="2">
        <f>SUM('㈱塩釜:牡鹿'!D97)</f>
        <v>2880.7219999999998</v>
      </c>
      <c r="E97" s="2">
        <f>SUM('㈱塩釜:牡鹿'!E97)</f>
        <v>21923.78837484415</v>
      </c>
      <c r="F97" s="2">
        <f>SUM('㈱塩釜:牡鹿'!F97)</f>
        <v>13467.521060207977</v>
      </c>
      <c r="G97" s="2">
        <f>SUM('㈱塩釜:牡鹿'!G97)</f>
        <v>7355.778993844496</v>
      </c>
      <c r="H97" s="2">
        <f>SUM('㈱塩釜:牡鹿'!H97)</f>
        <v>17326.294</v>
      </c>
      <c r="I97" s="2">
        <f>SUM('㈱塩釜:牡鹿'!I97)</f>
        <v>34468.2120146526</v>
      </c>
      <c r="J97" s="2">
        <f>SUM('㈱塩釜:牡鹿'!J97)</f>
        <v>2149.631999659215</v>
      </c>
      <c r="K97" s="2">
        <f>SUM('㈱塩釜:牡鹿'!K97)</f>
        <v>1812.433</v>
      </c>
      <c r="L97" s="2">
        <f>SUM('㈱塩釜:牡鹿'!L97)</f>
        <v>22392.536998316627</v>
      </c>
      <c r="M97" s="2">
        <f>SUM('㈱塩釜:牡鹿'!M97)</f>
        <v>12447.751998668076</v>
      </c>
      <c r="N97" s="2">
        <f>SUM('㈱塩釜:牡鹿'!N97)</f>
        <v>1140.286</v>
      </c>
      <c r="O97" s="2">
        <f>SUM('㈱塩釜:牡鹿'!O97)</f>
        <v>3498.261996693072</v>
      </c>
      <c r="P97" s="9">
        <f>SUM('㈱塩釜:牡鹿'!P97)</f>
        <v>140863.2184368862</v>
      </c>
    </row>
    <row r="98" spans="1:16" ht="19.5" customHeight="1">
      <c r="A98" s="376" t="s">
        <v>165</v>
      </c>
      <c r="B98" s="377"/>
      <c r="C98" s="54" t="s">
        <v>16</v>
      </c>
      <c r="D98" s="1"/>
      <c r="E98" s="1">
        <f>SUM('㈱塩釜:牡鹿'!E98)</f>
        <v>0.1596</v>
      </c>
      <c r="F98" s="1">
        <f>SUM('㈱塩釜:牡鹿'!F98)</f>
        <v>0.10640000000000001</v>
      </c>
      <c r="G98" s="1">
        <f>SUM('㈱塩釜:牡鹿'!G98)</f>
        <v>0.036000000000000004</v>
      </c>
      <c r="H98" s="1">
        <f>SUM('㈱塩釜:牡鹿'!H98)</f>
        <v>0.0012</v>
      </c>
      <c r="I98" s="1">
        <f>SUM('㈱塩釜:牡鹿'!I98)</f>
        <v>0.0019</v>
      </c>
      <c r="J98" s="1">
        <f>SUM('㈱塩釜:牡鹿'!J98)</f>
        <v>0.0006</v>
      </c>
      <c r="K98" s="1"/>
      <c r="L98" s="1">
        <f>SUM('㈱塩釜:牡鹿'!L98)</f>
        <v>0.0081</v>
      </c>
      <c r="M98" s="1">
        <f>SUM('㈱塩釜:牡鹿'!M98)</f>
        <v>0.0004</v>
      </c>
      <c r="N98" s="1">
        <f>SUM('㈱塩釜:牡鹿'!N98)</f>
        <v>0.0028</v>
      </c>
      <c r="O98" s="1">
        <f>SUM('㈱塩釜:牡鹿'!O98)</f>
        <v>0.9684</v>
      </c>
      <c r="P98" s="8">
        <f>SUM('㈱塩釜:牡鹿'!P98)</f>
        <v>1.2854</v>
      </c>
    </row>
    <row r="99" spans="1:16" ht="19.5" customHeight="1">
      <c r="A99" s="378"/>
      <c r="B99" s="379"/>
      <c r="C99" s="48" t="s">
        <v>18</v>
      </c>
      <c r="D99" s="2"/>
      <c r="E99" s="2">
        <f>SUM('㈱塩釜:牡鹿'!E99)</f>
        <v>53.834</v>
      </c>
      <c r="F99" s="2">
        <f>SUM('㈱塩釜:牡鹿'!F99)</f>
        <v>34.754999999999995</v>
      </c>
      <c r="G99" s="2">
        <f>SUM('㈱塩釜:牡鹿'!G99)</f>
        <v>31.017000000000003</v>
      </c>
      <c r="H99" s="2">
        <f>SUM('㈱塩釜:牡鹿'!H99)</f>
        <v>5.659000000000001</v>
      </c>
      <c r="I99" s="2">
        <f>SUM('㈱塩釜:牡鹿'!I99)</f>
        <v>12.365</v>
      </c>
      <c r="J99" s="2">
        <f>SUM('㈱塩釜:牡鹿'!J99)</f>
        <v>3.24</v>
      </c>
      <c r="K99" s="2"/>
      <c r="L99" s="2">
        <f>SUM('㈱塩釜:牡鹿'!L99)</f>
        <v>6.793</v>
      </c>
      <c r="M99" s="2">
        <f>SUM('㈱塩釜:牡鹿'!M99)</f>
        <v>0.518</v>
      </c>
      <c r="N99" s="2">
        <f>SUM('㈱塩釜:牡鹿'!N99)</f>
        <v>10.109</v>
      </c>
      <c r="O99" s="2">
        <f>SUM('㈱塩釜:牡鹿'!O99)</f>
        <v>608.4290000000001</v>
      </c>
      <c r="P99" s="9">
        <f>SUM('㈱塩釜:牡鹿'!P99)</f>
        <v>766.719</v>
      </c>
    </row>
    <row r="100" spans="1:16" ht="19.5" customHeight="1">
      <c r="A100" s="376" t="s">
        <v>166</v>
      </c>
      <c r="B100" s="377"/>
      <c r="C100" s="54" t="s">
        <v>16</v>
      </c>
      <c r="D100" s="1">
        <f>SUM('㈱塩釜:牡鹿'!D100)</f>
        <v>0.1004</v>
      </c>
      <c r="E100" s="1">
        <f>SUM('㈱塩釜:牡鹿'!E100)</f>
        <v>0.0082</v>
      </c>
      <c r="F100" s="1">
        <f>SUM('㈱塩釜:牡鹿'!F100)</f>
        <v>0.003</v>
      </c>
      <c r="G100" s="1">
        <f>SUM('㈱塩釜:牡鹿'!G100)</f>
        <v>0.007</v>
      </c>
      <c r="H100" s="1">
        <f>SUM('㈱塩釜:牡鹿'!H100)</f>
        <v>0.028</v>
      </c>
      <c r="I100" s="1"/>
      <c r="J100" s="1">
        <f>SUM('㈱塩釜:牡鹿'!J100)</f>
        <v>0.012</v>
      </c>
      <c r="K100" s="1"/>
      <c r="L100" s="1">
        <f>SUM('㈱塩釜:牡鹿'!L100)</f>
        <v>0.0088</v>
      </c>
      <c r="M100" s="1"/>
      <c r="N100" s="1"/>
      <c r="O100" s="1">
        <f>SUM('㈱塩釜:牡鹿'!O100)</f>
        <v>0.015</v>
      </c>
      <c r="P100" s="8">
        <f>SUM('㈱塩釜:牡鹿'!P100)</f>
        <v>0.18889999999999998</v>
      </c>
    </row>
    <row r="101" spans="1:16" ht="19.5" customHeight="1">
      <c r="A101" s="378"/>
      <c r="B101" s="379"/>
      <c r="C101" s="48" t="s">
        <v>18</v>
      </c>
      <c r="D101" s="2">
        <f>SUM('㈱塩釜:牡鹿'!D101)</f>
        <v>39.34500445902344</v>
      </c>
      <c r="E101" s="2">
        <f>SUM('㈱塩釜:牡鹿'!E101)</f>
        <v>3.4440014213743497</v>
      </c>
      <c r="F101" s="2">
        <f>SUM('㈱塩釜:牡鹿'!F101)</f>
        <v>2.52</v>
      </c>
      <c r="G101" s="2">
        <f>SUM('㈱塩釜:牡鹿'!G101)</f>
        <v>6.048</v>
      </c>
      <c r="H101" s="2">
        <f>SUM('㈱塩釜:牡鹿'!H101)</f>
        <v>18.36</v>
      </c>
      <c r="I101" s="2"/>
      <c r="J101" s="2">
        <f>SUM('㈱塩釜:牡鹿'!J101)</f>
        <v>6.48</v>
      </c>
      <c r="K101" s="2"/>
      <c r="L101" s="2">
        <f>SUM('㈱塩釜:牡鹿'!L101)</f>
        <v>7.02</v>
      </c>
      <c r="M101" s="2"/>
      <c r="N101" s="2"/>
      <c r="O101" s="2">
        <f>SUM('㈱塩釜:牡鹿'!O101)</f>
        <v>1.62</v>
      </c>
      <c r="P101" s="9">
        <f>SUM('㈱塩釜:牡鹿'!P101)</f>
        <v>88.34700588039779</v>
      </c>
    </row>
    <row r="102" spans="1:16" ht="19.5" customHeight="1">
      <c r="A102" s="376" t="s">
        <v>64</v>
      </c>
      <c r="B102" s="377"/>
      <c r="C102" s="54" t="s">
        <v>16</v>
      </c>
      <c r="D102" s="1">
        <f>SUM('㈱塩釜:牡鹿'!D102)</f>
        <v>1037.0748099999998</v>
      </c>
      <c r="E102" s="1">
        <f>SUM('㈱塩釜:牡鹿'!E102)</f>
        <v>197.72295000000003</v>
      </c>
      <c r="F102" s="1">
        <f>SUM('㈱塩釜:牡鹿'!F102)</f>
        <v>621.5723999999999</v>
      </c>
      <c r="G102" s="1">
        <f>SUM('㈱塩釜:牡鹿'!G102)</f>
        <v>1070.32591</v>
      </c>
      <c r="H102" s="1">
        <f>SUM('㈱塩釜:牡鹿'!H102)</f>
        <v>1484.8392500000002</v>
      </c>
      <c r="I102" s="1">
        <f>SUM('㈱塩釜:牡鹿'!I102)</f>
        <v>2859.9195000000004</v>
      </c>
      <c r="J102" s="1">
        <f>SUM('㈱塩釜:牡鹿'!J102)</f>
        <v>2308.5600099999997</v>
      </c>
      <c r="K102" s="1">
        <f>SUM('㈱塩釜:牡鹿'!K102)</f>
        <v>1218.0263</v>
      </c>
      <c r="L102" s="1">
        <f>SUM('㈱塩釜:牡鹿'!L102)</f>
        <v>1618.2675</v>
      </c>
      <c r="M102" s="1">
        <f>SUM('㈱塩釜:牡鹿'!M102)</f>
        <v>990.5157</v>
      </c>
      <c r="N102" s="1">
        <f>SUM('㈱塩釜:牡鹿'!N102)</f>
        <v>1337.7327</v>
      </c>
      <c r="O102" s="1">
        <f>SUM('㈱塩釜:牡鹿'!O102)</f>
        <v>193.83121999999997</v>
      </c>
      <c r="P102" s="8">
        <f>SUM('㈱塩釜:牡鹿'!P102)</f>
        <v>14938.388249999995</v>
      </c>
    </row>
    <row r="103" spans="1:16" ht="19.5" customHeight="1">
      <c r="A103" s="378"/>
      <c r="B103" s="379"/>
      <c r="C103" s="48" t="s">
        <v>18</v>
      </c>
      <c r="D103" s="2">
        <f>SUM('㈱塩釜:牡鹿'!D103)</f>
        <v>416319.3632334245</v>
      </c>
      <c r="E103" s="2">
        <f>SUM('㈱塩釜:牡鹿'!E103)</f>
        <v>99812.58339093179</v>
      </c>
      <c r="F103" s="2">
        <f>SUM('㈱塩釜:牡鹿'!F103)</f>
        <v>241889.07154818598</v>
      </c>
      <c r="G103" s="2">
        <f>SUM('㈱塩釜:牡鹿'!G103)</f>
        <v>422366.42695417424</v>
      </c>
      <c r="H103" s="2">
        <f>SUM('㈱塩釜:牡鹿'!H103)</f>
        <v>661213.1597909036</v>
      </c>
      <c r="I103" s="2">
        <f>SUM('㈱塩釜:牡鹿'!I103)</f>
        <v>1295137.4371275792</v>
      </c>
      <c r="J103" s="2">
        <f>SUM('㈱塩釜:牡鹿'!J103)</f>
        <v>1100321.9858890313</v>
      </c>
      <c r="K103" s="2">
        <f>SUM('㈱塩釜:牡鹿'!K103)</f>
        <v>275924.3953467297</v>
      </c>
      <c r="L103" s="2">
        <f>SUM('㈱塩釜:牡鹿'!L103)</f>
        <v>371875.98414239456</v>
      </c>
      <c r="M103" s="2">
        <f>SUM('㈱塩釜:牡鹿'!M103)</f>
        <v>254735.0163943223</v>
      </c>
      <c r="N103" s="2">
        <f>SUM('㈱塩釜:牡鹿'!N103)</f>
        <v>362735.5239778255</v>
      </c>
      <c r="O103" s="2">
        <f>SUM('㈱塩釜:牡鹿'!O103)</f>
        <v>130236.6559256653</v>
      </c>
      <c r="P103" s="9">
        <f>SUM('㈱塩釜:牡鹿'!P103)</f>
        <v>5632567.603721169</v>
      </c>
    </row>
    <row r="104" spans="1:16" ht="19.5" customHeight="1">
      <c r="A104" s="384" t="s">
        <v>65</v>
      </c>
      <c r="B104" s="385"/>
      <c r="C104" s="54" t="s">
        <v>16</v>
      </c>
      <c r="D104" s="1">
        <f>SUM('㈱塩釜:牡鹿'!D104)</f>
        <v>15133.39426</v>
      </c>
      <c r="E104" s="1">
        <f>SUM('㈱塩釜:牡鹿'!E104)</f>
        <v>8663.87083</v>
      </c>
      <c r="F104" s="1">
        <f>SUM('㈱塩釜:牡鹿'!F104)</f>
        <v>6223.231430000001</v>
      </c>
      <c r="G104" s="1">
        <f>SUM('㈱塩釜:牡鹿'!G104)</f>
        <v>8456.45596</v>
      </c>
      <c r="H104" s="1">
        <f>SUM('㈱塩釜:牡鹿'!H104)</f>
        <v>11675.928259999999</v>
      </c>
      <c r="I104" s="1">
        <f>SUM('㈱塩釜:牡鹿'!I104)</f>
        <v>22549.102500000008</v>
      </c>
      <c r="J104" s="1">
        <f>SUM('㈱塩釜:牡鹿'!J104)</f>
        <v>29803.85877</v>
      </c>
      <c r="K104" s="1">
        <f>SUM('㈱塩釜:牡鹿'!K104)</f>
        <v>16852.221950000003</v>
      </c>
      <c r="L104" s="1">
        <f>SUM('㈱塩釜:牡鹿'!L104)</f>
        <v>24104.44395</v>
      </c>
      <c r="M104" s="1">
        <f>SUM('㈱塩釜:牡鹿'!M104)</f>
        <v>35017.557420000005</v>
      </c>
      <c r="N104" s="1">
        <f>SUM('㈱塩釜:牡鹿'!N104)</f>
        <v>40319.483499999995</v>
      </c>
      <c r="O104" s="1">
        <f>SUM('㈱塩釜:牡鹿'!O104)</f>
        <v>17581.40307</v>
      </c>
      <c r="P104" s="8">
        <f>SUM('㈱塩釜:牡鹿'!P104)</f>
        <v>236380.95190000001</v>
      </c>
    </row>
    <row r="105" spans="1:16" ht="19.5" customHeight="1">
      <c r="A105" s="386"/>
      <c r="B105" s="387"/>
      <c r="C105" s="48" t="s">
        <v>18</v>
      </c>
      <c r="D105" s="2">
        <f>SUM('㈱塩釜:牡鹿'!D105)</f>
        <v>2613103.0187066044</v>
      </c>
      <c r="E105" s="2">
        <f>SUM('㈱塩釜:牡鹿'!E105)</f>
        <v>1471113.9769754882</v>
      </c>
      <c r="F105" s="2">
        <f>SUM('㈱塩釜:牡鹿'!F105)</f>
        <v>1383423.388385468</v>
      </c>
      <c r="G105" s="2">
        <f>SUM('㈱塩釜:牡鹿'!G105)</f>
        <v>2072329.785793183</v>
      </c>
      <c r="H105" s="2">
        <f>SUM('㈱塩釜:牡鹿'!H105)</f>
        <v>2748010.0211932966</v>
      </c>
      <c r="I105" s="2">
        <f>SUM('㈱塩釜:牡鹿'!I105)</f>
        <v>5633623.204982537</v>
      </c>
      <c r="J105" s="2">
        <f>SUM('㈱塩釜:牡鹿'!J105)</f>
        <v>8806290.193404183</v>
      </c>
      <c r="K105" s="2">
        <f>SUM('㈱塩釜:牡鹿'!K105)</f>
        <v>4941425.291561428</v>
      </c>
      <c r="L105" s="2">
        <f>SUM('㈱塩釜:牡鹿'!L105)</f>
        <v>5845874.463900797</v>
      </c>
      <c r="M105" s="2">
        <f>SUM('㈱塩釜:牡鹿'!M105)</f>
        <v>6669796.695613637</v>
      </c>
      <c r="N105" s="2">
        <f>SUM('㈱塩釜:牡鹿'!N105)</f>
        <v>5059043.706253331</v>
      </c>
      <c r="O105" s="2">
        <f>SUM('㈱塩釜:牡鹿'!O105)</f>
        <v>3043324.507461623</v>
      </c>
      <c r="P105" s="9">
        <f>SUM('㈱塩釜:牡鹿'!P105)</f>
        <v>50287358.254231565</v>
      </c>
    </row>
    <row r="106" spans="1:16" ht="19.5" customHeight="1">
      <c r="A106" s="44" t="s">
        <v>0</v>
      </c>
      <c r="B106" s="382" t="s">
        <v>167</v>
      </c>
      <c r="C106" s="54" t="s">
        <v>16</v>
      </c>
      <c r="D106" s="1">
        <f>SUM('㈱塩釜:牡鹿'!D106)</f>
        <v>1.5218999999999998</v>
      </c>
      <c r="E106" s="1">
        <f>SUM('㈱塩釜:牡鹿'!E106)</f>
        <v>0.062</v>
      </c>
      <c r="F106" s="1">
        <f>SUM('㈱塩釜:牡鹿'!F106)</f>
        <v>1.2649</v>
      </c>
      <c r="G106" s="1">
        <f>SUM('㈱塩釜:牡鹿'!G106)</f>
        <v>2.3935999999999997</v>
      </c>
      <c r="H106" s="1">
        <f>SUM('㈱塩釜:牡鹿'!H106)</f>
        <v>2.7387</v>
      </c>
      <c r="I106" s="1">
        <f>SUM('㈱塩釜:牡鹿'!I106)</f>
        <v>0.3716</v>
      </c>
      <c r="J106" s="1">
        <f>SUM('㈱塩釜:牡鹿'!J106)</f>
        <v>0.8541</v>
      </c>
      <c r="K106" s="1">
        <f>SUM('㈱塩釜:牡鹿'!K106)</f>
        <v>0.3806</v>
      </c>
      <c r="L106" s="1">
        <f>SUM('㈱塩釜:牡鹿'!L106)</f>
        <v>2.2141</v>
      </c>
      <c r="M106" s="1">
        <f>SUM('㈱塩釜:牡鹿'!M106)</f>
        <v>0.1861</v>
      </c>
      <c r="N106" s="1">
        <f>SUM('㈱塩釜:牡鹿'!N106)</f>
        <v>0.5015000000000001</v>
      </c>
      <c r="O106" s="1">
        <f>SUM('㈱塩釜:牡鹿'!O106)</f>
        <v>0.7597</v>
      </c>
      <c r="P106" s="8">
        <f>SUM('㈱塩釜:牡鹿'!P106)</f>
        <v>13.248800000000001</v>
      </c>
    </row>
    <row r="107" spans="1:16" ht="19.5" customHeight="1">
      <c r="A107" s="44" t="s">
        <v>0</v>
      </c>
      <c r="B107" s="383"/>
      <c r="C107" s="48" t="s">
        <v>18</v>
      </c>
      <c r="D107" s="2">
        <f>SUM('㈱塩釜:牡鹿'!D107)</f>
        <v>2909.4019999999996</v>
      </c>
      <c r="E107" s="2">
        <f>SUM('㈱塩釜:牡鹿'!E107)</f>
        <v>2957.241</v>
      </c>
      <c r="F107" s="2">
        <f>SUM('㈱塩釜:牡鹿'!F107)</f>
        <v>1657.8039999999999</v>
      </c>
      <c r="G107" s="2">
        <f>SUM('㈱塩釜:牡鹿'!G107)</f>
        <v>1858.421</v>
      </c>
      <c r="H107" s="2">
        <f>SUM('㈱塩釜:牡鹿'!H107)</f>
        <v>8351.171999999999</v>
      </c>
      <c r="I107" s="2">
        <f>SUM('㈱塩釜:牡鹿'!I107)</f>
        <v>2750.579</v>
      </c>
      <c r="J107" s="2">
        <f>SUM('㈱塩釜:牡鹿'!J107)</f>
        <v>3821.2080000000005</v>
      </c>
      <c r="K107" s="2">
        <f>SUM('㈱塩釜:牡鹿'!K107)</f>
        <v>1604.464</v>
      </c>
      <c r="L107" s="2">
        <f>SUM('㈱塩釜:牡鹿'!L107)</f>
        <v>4773.596</v>
      </c>
      <c r="M107" s="2">
        <f>SUM('㈱塩釜:牡鹿'!M107)</f>
        <v>168.173</v>
      </c>
      <c r="N107" s="2">
        <f>SUM('㈱塩釜:牡鹿'!N107)</f>
        <v>1642.702</v>
      </c>
      <c r="O107" s="2">
        <f>SUM('㈱塩釜:牡鹿'!O107)</f>
        <v>5393.971</v>
      </c>
      <c r="P107" s="9">
        <f>SUM('㈱塩釜:牡鹿'!P107)</f>
        <v>37888.733</v>
      </c>
    </row>
    <row r="108" spans="1:16" ht="19.5" customHeight="1">
      <c r="A108" s="45" t="s">
        <v>66</v>
      </c>
      <c r="B108" s="382" t="s">
        <v>188</v>
      </c>
      <c r="C108" s="54" t="s">
        <v>16</v>
      </c>
      <c r="D108" s="1">
        <f>SUM('㈱塩釜:牡鹿'!D108)</f>
        <v>67.1959</v>
      </c>
      <c r="E108" s="1">
        <f>SUM('㈱塩釜:牡鹿'!E108)</f>
        <v>22.6371</v>
      </c>
      <c r="F108" s="1">
        <f>SUM('㈱塩釜:牡鹿'!F108)</f>
        <v>18.2683</v>
      </c>
      <c r="G108" s="1">
        <f>SUM('㈱塩釜:牡鹿'!G108)</f>
        <v>33.1401</v>
      </c>
      <c r="H108" s="1">
        <f>SUM('㈱塩釜:牡鹿'!H108)</f>
        <v>48.41310000000001</v>
      </c>
      <c r="I108" s="1">
        <f>SUM('㈱塩釜:牡鹿'!I108)</f>
        <v>114.6577</v>
      </c>
      <c r="J108" s="1">
        <f>SUM('㈱塩釜:牡鹿'!J108)</f>
        <v>209.32360000000003</v>
      </c>
      <c r="K108" s="1">
        <f>SUM('㈱塩釜:牡鹿'!K108)</f>
        <v>56.571</v>
      </c>
      <c r="L108" s="1">
        <f>SUM('㈱塩釜:牡鹿'!L108)</f>
        <v>35.5415</v>
      </c>
      <c r="M108" s="1">
        <f>SUM('㈱塩釜:牡鹿'!M108)</f>
        <v>29.910100000000003</v>
      </c>
      <c r="N108" s="1">
        <f>SUM('㈱塩釜:牡鹿'!N108)</f>
        <v>33.163399999999996</v>
      </c>
      <c r="O108" s="1">
        <f>SUM('㈱塩釜:牡鹿'!O108)</f>
        <v>45.93489999999999</v>
      </c>
      <c r="P108" s="8">
        <f>SUM('㈱塩釜:牡鹿'!P108)</f>
        <v>714.7567</v>
      </c>
    </row>
    <row r="109" spans="1:16" ht="19.5" customHeight="1">
      <c r="A109" s="45" t="s">
        <v>0</v>
      </c>
      <c r="B109" s="383"/>
      <c r="C109" s="48" t="s">
        <v>18</v>
      </c>
      <c r="D109" s="2">
        <f>SUM('㈱塩釜:牡鹿'!D109)</f>
        <v>28651.43498237142</v>
      </c>
      <c r="E109" s="2">
        <f>SUM('㈱塩釜:牡鹿'!E109)</f>
        <v>9819.250416984927</v>
      </c>
      <c r="F109" s="2">
        <f>SUM('㈱塩釜:牡鹿'!F109)</f>
        <v>9678.565577629966</v>
      </c>
      <c r="G109" s="2">
        <f>SUM('㈱塩釜:牡鹿'!G109)</f>
        <v>15844.607985839895</v>
      </c>
      <c r="H109" s="2">
        <f>SUM('㈱塩釜:牡鹿'!H109)</f>
        <v>24050.505412214676</v>
      </c>
      <c r="I109" s="2">
        <f>SUM('㈱塩釜:牡鹿'!I109)</f>
        <v>56231.26575324633</v>
      </c>
      <c r="J109" s="2">
        <f>SUM('㈱塩釜:牡鹿'!J109)</f>
        <v>100101.91219850071</v>
      </c>
      <c r="K109" s="2">
        <f>SUM('㈱塩釜:牡鹿'!K109)</f>
        <v>33472.74119731614</v>
      </c>
      <c r="L109" s="2">
        <f>SUM('㈱塩釜:牡鹿'!L109)</f>
        <v>14641.765109319185</v>
      </c>
      <c r="M109" s="2">
        <f>SUM('㈱塩釜:牡鹿'!M109)</f>
        <v>14100.716233746085</v>
      </c>
      <c r="N109" s="2">
        <f>SUM('㈱塩釜:牡鹿'!N109)</f>
        <v>18274.063609224915</v>
      </c>
      <c r="O109" s="2">
        <f>SUM('㈱塩釜:牡鹿'!O109)</f>
        <v>30708.26194118095</v>
      </c>
      <c r="P109" s="9">
        <f>SUM('㈱塩釜:牡鹿'!P109)</f>
        <v>355575.09041757527</v>
      </c>
    </row>
    <row r="110" spans="1:16" ht="19.5" customHeight="1">
      <c r="A110" s="45" t="s">
        <v>0</v>
      </c>
      <c r="B110" s="382" t="s">
        <v>169</v>
      </c>
      <c r="C110" s="54" t="s">
        <v>16</v>
      </c>
      <c r="D110" s="1">
        <f>SUM('㈱塩釜:牡鹿'!D110)</f>
        <v>647.1204</v>
      </c>
      <c r="E110" s="1">
        <f>SUM('㈱塩釜:牡鹿'!E110)</f>
        <v>172.3314</v>
      </c>
      <c r="F110" s="1">
        <f>SUM('㈱塩釜:牡鹿'!F110)</f>
        <v>98.84740000000001</v>
      </c>
      <c r="G110" s="1">
        <f>SUM('㈱塩釜:牡鹿'!G110)</f>
        <v>88.80939999999998</v>
      </c>
      <c r="H110" s="1">
        <f>SUM('㈱塩釜:牡鹿'!H110)</f>
        <v>103.19069999999999</v>
      </c>
      <c r="I110" s="1">
        <f>SUM('㈱塩釜:牡鹿'!I110)</f>
        <v>150.7715</v>
      </c>
      <c r="J110" s="1">
        <f>SUM('㈱塩釜:牡鹿'!J110)</f>
        <v>47.965999999999994</v>
      </c>
      <c r="K110" s="1">
        <f>SUM('㈱塩釜:牡鹿'!K110)</f>
        <v>91.9543</v>
      </c>
      <c r="L110" s="1">
        <f>SUM('㈱塩釜:牡鹿'!L110)</f>
        <v>775.8942999999999</v>
      </c>
      <c r="M110" s="1">
        <f>SUM('㈱塩釜:牡鹿'!M110)</f>
        <v>1653.0927</v>
      </c>
      <c r="N110" s="1">
        <f>SUM('㈱塩釜:牡鹿'!N110)</f>
        <v>3018.3120999999996</v>
      </c>
      <c r="O110" s="1">
        <f>SUM('㈱塩釜:牡鹿'!O110)</f>
        <v>1544.7323</v>
      </c>
      <c r="P110" s="8">
        <f>SUM('㈱塩釜:牡鹿'!P110)</f>
        <v>8393.0225</v>
      </c>
    </row>
    <row r="111" spans="1:16" ht="19.5" customHeight="1">
      <c r="A111" s="45"/>
      <c r="B111" s="383"/>
      <c r="C111" s="48" t="s">
        <v>18</v>
      </c>
      <c r="D111" s="2">
        <f>SUM('㈱塩釜:牡鹿'!D111)</f>
        <v>174562.46136858076</v>
      </c>
      <c r="E111" s="2">
        <f>SUM('㈱塩釜:牡鹿'!E111)</f>
        <v>63905.90679799323</v>
      </c>
      <c r="F111" s="2">
        <f>SUM('㈱塩釜:牡鹿'!F111)</f>
        <v>50268.17563582366</v>
      </c>
      <c r="G111" s="2">
        <f>SUM('㈱塩釜:牡鹿'!G111)</f>
        <v>54407.28159747456</v>
      </c>
      <c r="H111" s="2">
        <f>SUM('㈱塩釜:牡鹿'!H111)</f>
        <v>66117.54980014933</v>
      </c>
      <c r="I111" s="2">
        <f>SUM('㈱塩釜:牡鹿'!I111)</f>
        <v>14652.49040209575</v>
      </c>
      <c r="J111" s="2">
        <f>SUM('㈱塩釜:牡鹿'!J111)</f>
        <v>9996.628999803548</v>
      </c>
      <c r="K111" s="2">
        <f>SUM('㈱塩釜:牡鹿'!K111)</f>
        <v>26760.341999379652</v>
      </c>
      <c r="L111" s="2">
        <f>SUM('㈱塩釜:牡鹿'!L111)</f>
        <v>177224.8107521868</v>
      </c>
      <c r="M111" s="2">
        <f>SUM('㈱塩釜:牡鹿'!M111)</f>
        <v>360594.51839250734</v>
      </c>
      <c r="N111" s="2">
        <f>SUM('㈱塩釜:牡鹿'!N111)</f>
        <v>672380.400234422</v>
      </c>
      <c r="O111" s="2">
        <f>SUM('㈱塩釜:牡鹿'!O111)</f>
        <v>421317.5349645795</v>
      </c>
      <c r="P111" s="9">
        <f>SUM('㈱塩釜:牡鹿'!P111)</f>
        <v>2092188.100944996</v>
      </c>
    </row>
    <row r="112" spans="1:16" ht="19.5" customHeight="1">
      <c r="A112" s="45" t="s">
        <v>67</v>
      </c>
      <c r="B112" s="382" t="s">
        <v>189</v>
      </c>
      <c r="C112" s="54" t="s">
        <v>16</v>
      </c>
      <c r="D112" s="1">
        <f>SUM('㈱塩釜:牡鹿'!D112)</f>
        <v>0.11839999999999999</v>
      </c>
      <c r="E112" s="1">
        <f>SUM('㈱塩釜:牡鹿'!E112)</f>
        <v>0.1527</v>
      </c>
      <c r="F112" s="1">
        <f>SUM('㈱塩釜:牡鹿'!F112)</f>
        <v>0.14029999999999998</v>
      </c>
      <c r="G112" s="1">
        <f>SUM('㈱塩釜:牡鹿'!G112)</f>
        <v>2.3727000000000005</v>
      </c>
      <c r="H112" s="1">
        <f>SUM('㈱塩釜:牡鹿'!H112)</f>
        <v>8.0486</v>
      </c>
      <c r="I112" s="1">
        <f>SUM('㈱塩釜:牡鹿'!I112)</f>
        <v>7.8966</v>
      </c>
      <c r="J112" s="1">
        <f>SUM('㈱塩釜:牡鹿'!J112)</f>
        <v>0.9404000000000001</v>
      </c>
      <c r="K112" s="1">
        <f>SUM('㈱塩釜:牡鹿'!K112)</f>
        <v>0.3848999999999999</v>
      </c>
      <c r="L112" s="1">
        <f>SUM('㈱塩釜:牡鹿'!L112)</f>
        <v>1.8508</v>
      </c>
      <c r="M112" s="1">
        <f>SUM('㈱塩釜:牡鹿'!M112)</f>
        <v>3.7238</v>
      </c>
      <c r="N112" s="1">
        <f>SUM('㈱塩釜:牡鹿'!N112)</f>
        <v>2.319</v>
      </c>
      <c r="O112" s="1">
        <f>SUM('㈱塩釜:牡鹿'!O112)</f>
        <v>1.1490999999999998</v>
      </c>
      <c r="P112" s="8">
        <f>SUM('㈱塩釜:牡鹿'!P112)</f>
        <v>29.097300000000008</v>
      </c>
    </row>
    <row r="113" spans="1:16" ht="19.5" customHeight="1">
      <c r="A113" s="45"/>
      <c r="B113" s="383"/>
      <c r="C113" s="48" t="s">
        <v>18</v>
      </c>
      <c r="D113" s="2">
        <f>SUM('㈱塩釜:牡鹿'!D113)</f>
        <v>498.404</v>
      </c>
      <c r="E113" s="2">
        <f>SUM('㈱塩釜:牡鹿'!E113)</f>
        <v>851.184</v>
      </c>
      <c r="F113" s="2">
        <f>SUM('㈱塩釜:牡鹿'!F113)</f>
        <v>1085.5670009197258</v>
      </c>
      <c r="G113" s="2">
        <f>SUM('㈱塩釜:牡鹿'!G113)</f>
        <v>7242.1679986431445</v>
      </c>
      <c r="H113" s="2">
        <f>SUM('㈱塩釜:牡鹿'!H113)</f>
        <v>19193.350400425992</v>
      </c>
      <c r="I113" s="2">
        <f>SUM('㈱塩釜:牡鹿'!I113)</f>
        <v>16469.482799999998</v>
      </c>
      <c r="J113" s="2">
        <f>SUM('㈱塩釜:牡鹿'!J113)</f>
        <v>1898.862</v>
      </c>
      <c r="K113" s="2">
        <f>SUM('㈱塩釜:牡鹿'!K113)</f>
        <v>777.0256</v>
      </c>
      <c r="L113" s="2">
        <f>SUM('㈱塩釜:牡鹿'!L113)</f>
        <v>2152.7676</v>
      </c>
      <c r="M113" s="2">
        <f>SUM('㈱塩釜:牡鹿'!M113)</f>
        <v>1639.7103999523924</v>
      </c>
      <c r="N113" s="2">
        <f>SUM('㈱塩釜:牡鹿'!N113)</f>
        <v>938.6650000423931</v>
      </c>
      <c r="O113" s="2">
        <f>SUM('㈱塩釜:牡鹿'!O113)</f>
        <v>1200.58927907406</v>
      </c>
      <c r="P113" s="9">
        <f>SUM('㈱塩釜:牡鹿'!P113)</f>
        <v>53947.77607905771</v>
      </c>
    </row>
    <row r="114" spans="1:16" ht="19.5" customHeight="1">
      <c r="A114" s="45"/>
      <c r="B114" s="382" t="s">
        <v>171</v>
      </c>
      <c r="C114" s="54" t="s">
        <v>16</v>
      </c>
      <c r="D114" s="1">
        <f>SUM('㈱塩釜:牡鹿'!D114)</f>
        <v>2.5228</v>
      </c>
      <c r="E114" s="1">
        <f>SUM('㈱塩釜:牡鹿'!E114)</f>
        <v>5.1672</v>
      </c>
      <c r="F114" s="1">
        <f>SUM('㈱塩釜:牡鹿'!F114)</f>
        <v>8.4187</v>
      </c>
      <c r="G114" s="1">
        <f>SUM('㈱塩釜:牡鹿'!G114)</f>
        <v>13.070639999999997</v>
      </c>
      <c r="H114" s="1">
        <f>SUM('㈱塩釜:牡鹿'!H114)</f>
        <v>16.218999999999998</v>
      </c>
      <c r="I114" s="1">
        <f>SUM('㈱塩釜:牡鹿'!I114)</f>
        <v>12.661700000000002</v>
      </c>
      <c r="J114" s="1">
        <f>SUM('㈱塩釜:牡鹿'!J114)</f>
        <v>15.882</v>
      </c>
      <c r="K114" s="1">
        <f>SUM('㈱塩釜:牡鹿'!K114)</f>
        <v>8.986199999999998</v>
      </c>
      <c r="L114" s="1">
        <f>SUM('㈱塩釜:牡鹿'!L114)</f>
        <v>17.499769999999998</v>
      </c>
      <c r="M114" s="1">
        <f>SUM('㈱塩釜:牡鹿'!M114)</f>
        <v>22.778999999999996</v>
      </c>
      <c r="N114" s="1">
        <f>SUM('㈱塩釜:牡鹿'!N114)</f>
        <v>15.451699999999999</v>
      </c>
      <c r="O114" s="1">
        <f>SUM('㈱塩釜:牡鹿'!O114)</f>
        <v>9.3815</v>
      </c>
      <c r="P114" s="8">
        <f>SUM('㈱塩釜:牡鹿'!P114)</f>
        <v>148.04021</v>
      </c>
    </row>
    <row r="115" spans="1:16" ht="19.5" customHeight="1">
      <c r="A115" s="45"/>
      <c r="B115" s="383"/>
      <c r="C115" s="48" t="s">
        <v>18</v>
      </c>
      <c r="D115" s="2">
        <f>SUM('㈱塩釜:牡鹿'!D115)</f>
        <v>1837.2745856122533</v>
      </c>
      <c r="E115" s="2">
        <f>SUM('㈱塩釜:牡鹿'!E115)</f>
        <v>5201.83706740905</v>
      </c>
      <c r="F115" s="2">
        <f>SUM('㈱塩釜:牡鹿'!F115)</f>
        <v>9676.518678585458</v>
      </c>
      <c r="G115" s="2">
        <f>SUM('㈱塩釜:牡鹿'!G115)</f>
        <v>11084.12731193424</v>
      </c>
      <c r="H115" s="2">
        <f>SUM('㈱塩釜:牡鹿'!H115)</f>
        <v>13017.038131289344</v>
      </c>
      <c r="I115" s="2">
        <f>SUM('㈱塩釜:牡鹿'!I115)</f>
        <v>8132.245602914228</v>
      </c>
      <c r="J115" s="2">
        <f>SUM('㈱塩釜:牡鹿'!J115)</f>
        <v>10723.858519437286</v>
      </c>
      <c r="K115" s="2">
        <f>SUM('㈱塩釜:牡鹿'!K115)</f>
        <v>4843.711915204955</v>
      </c>
      <c r="L115" s="2">
        <f>SUM('㈱塩釜:牡鹿'!L115)</f>
        <v>7787.895436602251</v>
      </c>
      <c r="M115" s="2">
        <f>SUM('㈱塩釜:牡鹿'!M115)</f>
        <v>12551.327238321122</v>
      </c>
      <c r="N115" s="2">
        <f>SUM('㈱塩釜:牡鹿'!N115)</f>
        <v>10817.511324453573</v>
      </c>
      <c r="O115" s="2">
        <f>SUM('㈱塩釜:牡鹿'!O115)</f>
        <v>7960.949427432821</v>
      </c>
      <c r="P115" s="9">
        <f>SUM('㈱塩釜:牡鹿'!P115)</f>
        <v>103634.2952391966</v>
      </c>
    </row>
    <row r="116" spans="1:16" ht="19.5" customHeight="1">
      <c r="A116" s="45" t="s">
        <v>68</v>
      </c>
      <c r="B116" s="382" t="s">
        <v>190</v>
      </c>
      <c r="C116" s="54" t="s">
        <v>16</v>
      </c>
      <c r="D116" s="1"/>
      <c r="E116" s="1">
        <f>SUM('㈱塩釜:牡鹿'!E116)</f>
        <v>38.1</v>
      </c>
      <c r="F116" s="1">
        <f>SUM('㈱塩釜:牡鹿'!F116)</f>
        <v>4475.61</v>
      </c>
      <c r="G116" s="1">
        <f>SUM('㈱塩釜:牡鹿'!G116)</f>
        <v>5981.34</v>
      </c>
      <c r="H116" s="1">
        <f>SUM('㈱塩釜:牡鹿'!H116)</f>
        <v>194.43</v>
      </c>
      <c r="I116" s="1">
        <f>SUM('㈱塩釜:牡鹿'!I116)</f>
        <v>0.02</v>
      </c>
      <c r="J116" s="1">
        <f>SUM('㈱塩釜:牡鹿'!J116)</f>
        <v>1</v>
      </c>
      <c r="K116" s="1"/>
      <c r="L116" s="1"/>
      <c r="M116" s="1"/>
      <c r="N116" s="1"/>
      <c r="O116" s="1"/>
      <c r="P116" s="8">
        <f>SUM('㈱塩釜:牡鹿'!P116)</f>
        <v>10690.5</v>
      </c>
    </row>
    <row r="117" spans="1:16" ht="19.5" customHeight="1">
      <c r="A117" s="45"/>
      <c r="B117" s="383"/>
      <c r="C117" s="48" t="s">
        <v>18</v>
      </c>
      <c r="D117" s="2"/>
      <c r="E117" s="2">
        <f>SUM('㈱塩釜:牡鹿'!E117)</f>
        <v>1420.178</v>
      </c>
      <c r="F117" s="2">
        <f>SUM('㈱塩釜:牡鹿'!F117)</f>
        <v>174881.544</v>
      </c>
      <c r="G117" s="2">
        <f>SUM('㈱塩釜:牡鹿'!G117)</f>
        <v>330336.757</v>
      </c>
      <c r="H117" s="2">
        <f>SUM('㈱塩釜:牡鹿'!H117)</f>
        <v>15972.876</v>
      </c>
      <c r="I117" s="2">
        <f>SUM('㈱塩釜:牡鹿'!I117)</f>
        <v>14.04</v>
      </c>
      <c r="J117" s="2">
        <f>SUM('㈱塩釜:牡鹿'!J117)</f>
        <v>572.4</v>
      </c>
      <c r="K117" s="2"/>
      <c r="L117" s="2"/>
      <c r="M117" s="2"/>
      <c r="N117" s="2"/>
      <c r="O117" s="2"/>
      <c r="P117" s="9">
        <f>SUM('㈱塩釜:牡鹿'!P117)</f>
        <v>523197.79500000004</v>
      </c>
    </row>
    <row r="118" spans="1:16" ht="19.5" customHeight="1">
      <c r="A118" s="45"/>
      <c r="B118" s="382" t="s">
        <v>69</v>
      </c>
      <c r="C118" s="54" t="s">
        <v>16</v>
      </c>
      <c r="D118" s="1">
        <f>SUM('㈱塩釜:牡鹿'!D118)</f>
        <v>15.6548</v>
      </c>
      <c r="E118" s="1">
        <f>SUM('㈱塩釜:牡鹿'!E118)</f>
        <v>4.7642999999999995</v>
      </c>
      <c r="F118" s="1">
        <f>SUM('㈱塩釜:牡鹿'!F118)</f>
        <v>4.6659999999999995</v>
      </c>
      <c r="G118" s="1">
        <f>SUM('㈱塩釜:牡鹿'!G118)</f>
        <v>0.242</v>
      </c>
      <c r="H118" s="1">
        <f>SUM('㈱塩釜:牡鹿'!H118)</f>
        <v>0.032799999999999996</v>
      </c>
      <c r="I118" s="1">
        <f>SUM('㈱塩釜:牡鹿'!I118)</f>
        <v>0.515</v>
      </c>
      <c r="J118" s="1">
        <f>SUM('㈱塩釜:牡鹿'!J118)</f>
        <v>0.010499999999999999</v>
      </c>
      <c r="K118" s="1">
        <f>SUM('㈱塩釜:牡鹿'!K118)</f>
        <v>0.044700000000000004</v>
      </c>
      <c r="L118" s="1">
        <f>SUM('㈱塩釜:牡鹿'!L118)</f>
        <v>0.011</v>
      </c>
      <c r="M118" s="1">
        <f>SUM('㈱塩釜:牡鹿'!M118)</f>
        <v>0.0105</v>
      </c>
      <c r="N118" s="1">
        <f>SUM('㈱塩釜:牡鹿'!N118)</f>
        <v>11.047300000000002</v>
      </c>
      <c r="O118" s="1">
        <f>SUM('㈱塩釜:牡鹿'!O118)</f>
        <v>9.462400000000002</v>
      </c>
      <c r="P118" s="8">
        <f>SUM('㈱塩釜:牡鹿'!P118)</f>
        <v>46.46130000000001</v>
      </c>
    </row>
    <row r="119" spans="1:16" ht="19.5" customHeight="1">
      <c r="A119" s="45"/>
      <c r="B119" s="383"/>
      <c r="C119" s="48" t="s">
        <v>18</v>
      </c>
      <c r="D119" s="2">
        <f>SUM('㈱塩釜:牡鹿'!D119)</f>
        <v>34134.2062302935</v>
      </c>
      <c r="E119" s="2">
        <f>SUM('㈱塩釜:牡鹿'!E119)</f>
        <v>8578.48956</v>
      </c>
      <c r="F119" s="2">
        <f>SUM('㈱塩釜:牡鹿'!F119)</f>
        <v>8609.483003978665</v>
      </c>
      <c r="G119" s="2">
        <f>SUM('㈱塩釜:牡鹿'!G119)</f>
        <v>490.84919988330455</v>
      </c>
      <c r="H119" s="2">
        <f>SUM('㈱塩釜:牡鹿'!H119)</f>
        <v>37.92900002406738</v>
      </c>
      <c r="I119" s="2">
        <f>SUM('㈱塩釜:牡鹿'!I119)</f>
        <v>373.346000053936</v>
      </c>
      <c r="J119" s="2">
        <f>SUM('㈱塩釜:牡鹿'!J119)</f>
        <v>10.810999994988462</v>
      </c>
      <c r="K119" s="2">
        <f>SUM('㈱塩釜:牡鹿'!K119)</f>
        <v>22.15099982455901</v>
      </c>
      <c r="L119" s="2">
        <f>SUM('㈱塩釜:牡鹿'!L119)</f>
        <v>2.8079999912324265</v>
      </c>
      <c r="M119" s="2">
        <f>SUM('㈱塩釜:牡鹿'!M119)</f>
        <v>5.71359999079343</v>
      </c>
      <c r="N119" s="2">
        <f>SUM('㈱塩釜:牡鹿'!N119)</f>
        <v>20394.267480126</v>
      </c>
      <c r="O119" s="2">
        <f>SUM('㈱塩釜:牡鹿'!O119)</f>
        <v>21815.93699900191</v>
      </c>
      <c r="P119" s="9">
        <f>SUM('㈱塩釜:牡鹿'!P119)</f>
        <v>94475.99107316295</v>
      </c>
    </row>
    <row r="120" spans="1:16" ht="19.5" customHeight="1">
      <c r="A120" s="45" t="s">
        <v>70</v>
      </c>
      <c r="B120" s="382" t="s">
        <v>174</v>
      </c>
      <c r="C120" s="54" t="s">
        <v>16</v>
      </c>
      <c r="D120" s="1">
        <f>SUM('㈱塩釜:牡鹿'!D120)</f>
        <v>2.8002000000000002</v>
      </c>
      <c r="E120" s="1">
        <f>SUM('㈱塩釜:牡鹿'!E120)</f>
        <v>1.891</v>
      </c>
      <c r="F120" s="1">
        <f>SUM('㈱塩釜:牡鹿'!F120)</f>
        <v>2.8231</v>
      </c>
      <c r="G120" s="1">
        <f>SUM('㈱塩釜:牡鹿'!G120)</f>
        <v>2.1365</v>
      </c>
      <c r="H120" s="1">
        <f>SUM('㈱塩釜:牡鹿'!H120)</f>
        <v>2.7495</v>
      </c>
      <c r="I120" s="1">
        <f>SUM('㈱塩釜:牡鹿'!I120)</f>
        <v>8.7121</v>
      </c>
      <c r="J120" s="1">
        <f>SUM('㈱塩釜:牡鹿'!J120)</f>
        <v>2.302</v>
      </c>
      <c r="K120" s="1">
        <f>SUM('㈱塩釜:牡鹿'!K120)</f>
        <v>3.2</v>
      </c>
      <c r="L120" s="1">
        <f>SUM('㈱塩釜:牡鹿'!L120)</f>
        <v>1.4149999999999998</v>
      </c>
      <c r="M120" s="1">
        <f>SUM('㈱塩釜:牡鹿'!M120)</f>
        <v>2.9074999999999998</v>
      </c>
      <c r="N120" s="1">
        <f>SUM('㈱塩釜:牡鹿'!N120)</f>
        <v>5.8799</v>
      </c>
      <c r="O120" s="1">
        <f>SUM('㈱塩釜:牡鹿'!O120)</f>
        <v>4.9898</v>
      </c>
      <c r="P120" s="8">
        <f>SUM('㈱塩釜:牡鹿'!P120)</f>
        <v>41.8066</v>
      </c>
    </row>
    <row r="121" spans="1:16" ht="19.5" customHeight="1">
      <c r="A121" s="45"/>
      <c r="B121" s="383"/>
      <c r="C121" s="48" t="s">
        <v>18</v>
      </c>
      <c r="D121" s="2">
        <f>SUM('㈱塩釜:牡鹿'!D121)</f>
        <v>2270.7300008918046</v>
      </c>
      <c r="E121" s="2">
        <f>SUM('㈱塩釜:牡鹿'!E121)</f>
        <v>1344.5980836530805</v>
      </c>
      <c r="F121" s="2">
        <f>SUM('㈱塩釜:牡鹿'!F121)</f>
        <v>1407.3665349070004</v>
      </c>
      <c r="G121" s="2">
        <f>SUM('㈱塩釜:牡鹿'!G121)</f>
        <v>708.0479967709423</v>
      </c>
      <c r="H121" s="2">
        <f>SUM('㈱塩釜:牡鹿'!H121)</f>
        <v>1146.9190059217783</v>
      </c>
      <c r="I121" s="2">
        <f>SUM('㈱塩釜:牡鹿'!I121)</f>
        <v>1827.3610107759532</v>
      </c>
      <c r="J121" s="2">
        <f>SUM('㈱塩釜:牡鹿'!J121)</f>
        <v>1199.447996478893</v>
      </c>
      <c r="K121" s="2">
        <f>SUM('㈱塩釜:牡鹿'!K121)</f>
        <v>1630.0439825760925</v>
      </c>
      <c r="L121" s="2">
        <f>SUM('㈱塩釜:牡鹿'!L121)</f>
        <v>597.5099999342432</v>
      </c>
      <c r="M121" s="2">
        <f>SUM('㈱塩釜:牡鹿'!M121)</f>
        <v>2449.6761999476676</v>
      </c>
      <c r="N121" s="2">
        <f>SUM('㈱塩釜:牡鹿'!N121)</f>
        <v>3153.234000086553</v>
      </c>
      <c r="O121" s="2">
        <f>SUM('㈱塩釜:牡鹿'!O121)</f>
        <v>4404.206</v>
      </c>
      <c r="P121" s="9">
        <f>SUM('㈱塩釜:牡鹿'!P121)</f>
        <v>22139.140811944006</v>
      </c>
    </row>
    <row r="122" spans="1:16" ht="19.5" customHeight="1">
      <c r="A122" s="45"/>
      <c r="B122" s="382" t="s">
        <v>72</v>
      </c>
      <c r="C122" s="54" t="s">
        <v>16</v>
      </c>
      <c r="D122" s="1">
        <f>SUM('㈱塩釜:牡鹿'!D122)</f>
        <v>29.0858</v>
      </c>
      <c r="E122" s="1">
        <f>SUM('㈱塩釜:牡鹿'!E122)</f>
        <v>18.5132</v>
      </c>
      <c r="F122" s="1">
        <f>SUM('㈱塩釜:牡鹿'!F122)</f>
        <v>29.713900000000006</v>
      </c>
      <c r="G122" s="1">
        <f>SUM('㈱塩釜:牡鹿'!G122)</f>
        <v>32.6451</v>
      </c>
      <c r="H122" s="1">
        <f>SUM('㈱塩釜:牡鹿'!H122)</f>
        <v>26.4414</v>
      </c>
      <c r="I122" s="1">
        <f>SUM('㈱塩釜:牡鹿'!I122)</f>
        <v>18.4667</v>
      </c>
      <c r="J122" s="1">
        <f>SUM('㈱塩釜:牡鹿'!J122)</f>
        <v>16.326800000000002</v>
      </c>
      <c r="K122" s="1">
        <f>SUM('㈱塩釜:牡鹿'!K122)</f>
        <v>19.407400000000003</v>
      </c>
      <c r="L122" s="1">
        <f>SUM('㈱塩釜:牡鹿'!L122)</f>
        <v>29.143</v>
      </c>
      <c r="M122" s="1">
        <f>SUM('㈱塩釜:牡鹿'!M122)</f>
        <v>27.6024</v>
      </c>
      <c r="N122" s="1">
        <f>SUM('㈱塩釜:牡鹿'!N122)</f>
        <v>22.0349</v>
      </c>
      <c r="O122" s="1">
        <f>SUM('㈱塩釜:牡鹿'!O122)</f>
        <v>27.311999999999998</v>
      </c>
      <c r="P122" s="8">
        <f>SUM('㈱塩釜:牡鹿'!P122)</f>
        <v>296.69259999999997</v>
      </c>
    </row>
    <row r="123" spans="1:16" ht="19.5" customHeight="1">
      <c r="A123" s="45"/>
      <c r="B123" s="383"/>
      <c r="C123" s="48" t="s">
        <v>18</v>
      </c>
      <c r="D123" s="2">
        <f>SUM('㈱塩釜:牡鹿'!D123)</f>
        <v>20518.689093632405</v>
      </c>
      <c r="E123" s="2">
        <f>SUM('㈱塩釜:牡鹿'!E123)</f>
        <v>19535.772950921084</v>
      </c>
      <c r="F123" s="2">
        <f>SUM('㈱塩釜:牡鹿'!F123)</f>
        <v>27077.296345992632</v>
      </c>
      <c r="G123" s="2">
        <f>SUM('㈱塩釜:牡鹿'!G123)</f>
        <v>31959.693704179168</v>
      </c>
      <c r="H123" s="2">
        <f>SUM('㈱塩釜:牡鹿'!H123)</f>
        <v>25968.933482157558</v>
      </c>
      <c r="I123" s="2">
        <f>SUM('㈱塩釜:牡鹿'!I123)</f>
        <v>14783.437475056704</v>
      </c>
      <c r="J123" s="2">
        <f>SUM('㈱塩釜:牡鹿'!J123)</f>
        <v>12259.48058269656</v>
      </c>
      <c r="K123" s="2">
        <f>SUM('㈱塩釜:牡鹿'!K123)</f>
        <v>13503.43730895233</v>
      </c>
      <c r="L123" s="2">
        <f>SUM('㈱塩釜:牡鹿'!L123)</f>
        <v>33602.94890447145</v>
      </c>
      <c r="M123" s="2">
        <f>SUM('㈱塩釜:牡鹿'!M123)</f>
        <v>36578.40926094516</v>
      </c>
      <c r="N123" s="2">
        <f>SUM('㈱塩釜:牡鹿'!N123)</f>
        <v>26749.352439176473</v>
      </c>
      <c r="O123" s="2">
        <f>SUM('㈱塩釜:牡鹿'!O123)</f>
        <v>36188.686508832856</v>
      </c>
      <c r="P123" s="9">
        <f>SUM('㈱塩釜:牡鹿'!P123)</f>
        <v>298726.1380570144</v>
      </c>
    </row>
    <row r="124" spans="1:16" ht="19.5" customHeight="1">
      <c r="A124" s="45" t="s">
        <v>23</v>
      </c>
      <c r="B124" s="382" t="s">
        <v>193</v>
      </c>
      <c r="C124" s="54" t="s">
        <v>16</v>
      </c>
      <c r="D124" s="1">
        <f>SUM('㈱塩釜:牡鹿'!D124)</f>
        <v>11.078500000000002</v>
      </c>
      <c r="E124" s="1">
        <f>SUM('㈱塩釜:牡鹿'!E124)</f>
        <v>6.9270000000000005</v>
      </c>
      <c r="F124" s="1">
        <f>SUM('㈱塩釜:牡鹿'!F124)</f>
        <v>6.033</v>
      </c>
      <c r="G124" s="1">
        <f>SUM('㈱塩釜:牡鹿'!G124)</f>
        <v>5.0424</v>
      </c>
      <c r="H124" s="1">
        <f>SUM('㈱塩釜:牡鹿'!H124)</f>
        <v>10.226</v>
      </c>
      <c r="I124" s="1">
        <f>SUM('㈱塩釜:牡鹿'!I124)</f>
        <v>10.203899999999999</v>
      </c>
      <c r="J124" s="1">
        <f>SUM('㈱塩釜:牡鹿'!J124)</f>
        <v>133.231</v>
      </c>
      <c r="K124" s="1">
        <f>SUM('㈱塩釜:牡鹿'!K124)</f>
        <v>28.5793</v>
      </c>
      <c r="L124" s="1">
        <f>SUM('㈱塩釜:牡鹿'!L124)</f>
        <v>3.6912000000000003</v>
      </c>
      <c r="M124" s="1">
        <f>SUM('㈱塩釜:牡鹿'!M124)</f>
        <v>2.5869999999999997</v>
      </c>
      <c r="N124" s="1">
        <f>SUM('㈱塩釜:牡鹿'!N124)</f>
        <v>5.7101</v>
      </c>
      <c r="O124" s="1">
        <f>SUM('㈱塩釜:牡鹿'!O124)</f>
        <v>7.800699999999998</v>
      </c>
      <c r="P124" s="8">
        <f>SUM('㈱塩釜:牡鹿'!P124)</f>
        <v>231.1101</v>
      </c>
    </row>
    <row r="125" spans="1:16" ht="19.5" customHeight="1">
      <c r="A125" s="50"/>
      <c r="B125" s="383"/>
      <c r="C125" s="48" t="s">
        <v>18</v>
      </c>
      <c r="D125" s="2">
        <f>SUM('㈱塩釜:牡鹿'!D125)</f>
        <v>17942.576931326854</v>
      </c>
      <c r="E125" s="2">
        <f>SUM('㈱塩釜:牡鹿'!E125)</f>
        <v>7507.744811651308</v>
      </c>
      <c r="F125" s="2">
        <f>SUM('㈱塩釜:牡鹿'!F125)</f>
        <v>4951.162979987678</v>
      </c>
      <c r="G125" s="2">
        <f>SUM('㈱塩釜:牡鹿'!G125)</f>
        <v>4685.148555926082</v>
      </c>
      <c r="H125" s="2">
        <f>SUM('㈱塩釜:牡鹿'!H125)</f>
        <v>37565.29398822899</v>
      </c>
      <c r="I125" s="2">
        <f>SUM('㈱塩釜:牡鹿'!I125)</f>
        <v>29167.58709600282</v>
      </c>
      <c r="J125" s="2">
        <f>SUM('㈱塩釜:牡鹿'!J125)</f>
        <v>54658.14038571478</v>
      </c>
      <c r="K125" s="2">
        <f>SUM('㈱塩釜:牡鹿'!K125)</f>
        <v>12234.378935611705</v>
      </c>
      <c r="L125" s="2">
        <f>SUM('㈱塩釜:牡鹿'!L125)</f>
        <v>5219.994057220144</v>
      </c>
      <c r="M125" s="2">
        <f>SUM('㈱塩釜:牡鹿'!M125)</f>
        <v>4400.221580953364</v>
      </c>
      <c r="N125" s="2">
        <f>SUM('㈱塩釜:牡鹿'!N125)</f>
        <v>15576.013179137253</v>
      </c>
      <c r="O125" s="2">
        <f>SUM('㈱塩釜:牡鹿'!O125)</f>
        <v>15491.972658274482</v>
      </c>
      <c r="P125" s="9">
        <f>SUM('㈱塩釜:牡鹿'!P125)</f>
        <v>209400.2351600354</v>
      </c>
    </row>
    <row r="126" spans="1:16" ht="19.5" customHeight="1">
      <c r="A126" s="50"/>
      <c r="B126" s="47" t="s">
        <v>20</v>
      </c>
      <c r="C126" s="54" t="s">
        <v>16</v>
      </c>
      <c r="D126" s="1">
        <f>SUM('㈱塩釜:牡鹿'!D126)</f>
        <v>0.31400000000000006</v>
      </c>
      <c r="E126" s="1">
        <f>SUM('㈱塩釜:牡鹿'!E126)</f>
        <v>0.7252</v>
      </c>
      <c r="F126" s="1">
        <f>SUM('㈱塩釜:牡鹿'!F126)</f>
        <v>18.6917</v>
      </c>
      <c r="G126" s="1">
        <f>SUM('㈱塩釜:牡鹿'!G126)</f>
        <v>34.531400000000005</v>
      </c>
      <c r="H126" s="1">
        <f>SUM('㈱塩釜:牡鹿'!H126)</f>
        <v>81.22319999999999</v>
      </c>
      <c r="I126" s="1">
        <f>SUM('㈱塩釜:牡鹿'!I126)</f>
        <v>74.3937</v>
      </c>
      <c r="J126" s="1">
        <f>SUM('㈱塩釜:牡鹿'!J126)</f>
        <v>64.20700000000001</v>
      </c>
      <c r="K126" s="1">
        <f>SUM('㈱塩釜:牡鹿'!K126)</f>
        <v>23.2423</v>
      </c>
      <c r="L126" s="1">
        <f>SUM('㈱塩釜:牡鹿'!L126)</f>
        <v>3.1553</v>
      </c>
      <c r="M126" s="1">
        <f>SUM('㈱塩釜:牡鹿'!M126)</f>
        <v>-0.5495</v>
      </c>
      <c r="N126" s="1">
        <f>SUM('㈱塩釜:牡鹿'!N126)</f>
        <v>0.028</v>
      </c>
      <c r="O126" s="1">
        <f>SUM('㈱塩釜:牡鹿'!O126)</f>
        <v>0.1375</v>
      </c>
      <c r="P126" s="8">
        <f>SUM('㈱塩釜:牡鹿'!P126)</f>
        <v>300.0998000000001</v>
      </c>
    </row>
    <row r="127" spans="1:16" ht="19.5" customHeight="1">
      <c r="A127" s="50"/>
      <c r="B127" s="48" t="s">
        <v>73</v>
      </c>
      <c r="C127" s="48" t="s">
        <v>18</v>
      </c>
      <c r="D127" s="2">
        <f>SUM('㈱塩釜:牡鹿'!D127)</f>
        <v>715.5749999999999</v>
      </c>
      <c r="E127" s="2">
        <f>SUM('㈱塩釜:牡鹿'!E127)</f>
        <v>649.8450117003376</v>
      </c>
      <c r="F127" s="2">
        <f>SUM('㈱塩釜:牡鹿'!F127)</f>
        <v>5660.730307674472</v>
      </c>
      <c r="G127" s="2">
        <f>SUM('㈱塩釜:牡鹿'!G127)</f>
        <v>11352.18457695636</v>
      </c>
      <c r="H127" s="2">
        <f>SUM('㈱塩釜:牡鹿'!H127)</f>
        <v>20051.925226291984</v>
      </c>
      <c r="I127" s="2">
        <f>SUM('㈱塩釜:牡鹿'!I127)</f>
        <v>22785.338837318282</v>
      </c>
      <c r="J127" s="2">
        <f>SUM('㈱塩釜:牡鹿'!J127)</f>
        <v>22533.6723931933</v>
      </c>
      <c r="K127" s="2">
        <f>SUM('㈱塩釜:牡鹿'!K127)</f>
        <v>10127.068579707004</v>
      </c>
      <c r="L127" s="2">
        <f>SUM('㈱塩釜:牡鹿'!L127)</f>
        <v>1575.767599477102</v>
      </c>
      <c r="M127" s="2">
        <f>SUM('㈱塩釜:牡鹿'!M127)</f>
        <v>453.70899999999995</v>
      </c>
      <c r="N127" s="2">
        <f>SUM('㈱塩釜:牡鹿'!N127)</f>
        <v>668.3900000000001</v>
      </c>
      <c r="O127" s="2">
        <f>SUM('㈱塩釜:牡鹿'!O127)</f>
        <v>1321.6830000000002</v>
      </c>
      <c r="P127" s="9">
        <f>SUM('㈱塩釜:牡鹿'!P127)</f>
        <v>97895.88953231883</v>
      </c>
    </row>
    <row r="128" spans="1:16" ht="19.5" customHeight="1">
      <c r="A128" s="50"/>
      <c r="B128" s="380" t="s">
        <v>194</v>
      </c>
      <c r="C128" s="54" t="s">
        <v>16</v>
      </c>
      <c r="D128" s="1">
        <f>SUM('㈱塩釜:牡鹿'!D128)</f>
        <v>777.4127000000001</v>
      </c>
      <c r="E128" s="1">
        <f>SUM('㈱塩釜:牡鹿'!E128)</f>
        <v>271.2711</v>
      </c>
      <c r="F128" s="1">
        <f>SUM('㈱塩釜:牡鹿'!F128)</f>
        <v>4664.4773</v>
      </c>
      <c r="G128" s="1">
        <f>SUM('㈱塩釜:牡鹿'!G128)</f>
        <v>6195.72384</v>
      </c>
      <c r="H128" s="1">
        <f>SUM('㈱塩釜:牡鹿'!H128)</f>
        <v>493.713</v>
      </c>
      <c r="I128" s="1">
        <f>SUM('㈱塩釜:牡鹿'!I128)</f>
        <v>398.6705</v>
      </c>
      <c r="J128" s="1">
        <f>SUM('㈱塩釜:牡鹿'!J128)</f>
        <v>492.0434000000001</v>
      </c>
      <c r="K128" s="1">
        <f>SUM('㈱塩釜:牡鹿'!K128)</f>
        <v>232.7507</v>
      </c>
      <c r="L128" s="1">
        <f>SUM('㈱塩釜:牡鹿'!L128)</f>
        <v>870.4159699999999</v>
      </c>
      <c r="M128" s="1">
        <f>SUM('㈱塩釜:牡鹿'!M128)</f>
        <v>1742.2495999999994</v>
      </c>
      <c r="N128" s="1">
        <f>SUM('㈱塩釜:牡鹿'!N128)</f>
        <v>3114.4478999999997</v>
      </c>
      <c r="O128" s="1">
        <f>SUM('㈱塩釜:牡鹿'!O128)</f>
        <v>1651.6599000000003</v>
      </c>
      <c r="P128" s="8">
        <f>SUM('㈱塩釜:牡鹿'!P128)</f>
        <v>20904.835909999998</v>
      </c>
    </row>
    <row r="129" spans="1:16" ht="19.5" customHeight="1">
      <c r="A129" s="49"/>
      <c r="B129" s="381"/>
      <c r="C129" s="48" t="s">
        <v>18</v>
      </c>
      <c r="D129" s="2">
        <f>SUM('㈱塩釜:牡鹿'!D129)</f>
        <v>284040.754192709</v>
      </c>
      <c r="E129" s="2">
        <f>SUM('㈱塩釜:牡鹿'!E129)</f>
        <v>121772.04770031302</v>
      </c>
      <c r="F129" s="2">
        <f>SUM('㈱塩釜:牡鹿'!F129)</f>
        <v>294954.21406549925</v>
      </c>
      <c r="G129" s="2">
        <f>SUM('㈱塩釜:牡鹿'!G129)</f>
        <v>469969.28692760767</v>
      </c>
      <c r="H129" s="2">
        <f>SUM('㈱塩釜:牡鹿'!H129)</f>
        <v>231473.49244670375</v>
      </c>
      <c r="I129" s="2">
        <f>SUM('㈱塩釜:牡鹿'!I129)</f>
        <v>167187.173977464</v>
      </c>
      <c r="J129" s="2">
        <f>SUM('㈱塩釜:牡鹿'!J129)</f>
        <v>217776.42207582007</v>
      </c>
      <c r="K129" s="2">
        <f>SUM('㈱塩釜:牡鹿'!K129)</f>
        <v>104975.36451857245</v>
      </c>
      <c r="L129" s="2">
        <f>SUM('㈱塩釜:牡鹿'!L129)</f>
        <v>247579.86345920243</v>
      </c>
      <c r="M129" s="2">
        <f>SUM('㈱塩釜:牡鹿'!M129)</f>
        <v>432942.17490636394</v>
      </c>
      <c r="N129" s="2">
        <f>SUM('㈱塩釜:牡鹿'!N129)</f>
        <v>770594.599266669</v>
      </c>
      <c r="O129" s="2">
        <f>SUM('㈱塩釜:牡鹿'!O129)</f>
        <v>545803.7917783767</v>
      </c>
      <c r="P129" s="9">
        <f>SUM('㈱塩釜:牡鹿'!P129)</f>
        <v>3889069.185315301</v>
      </c>
    </row>
    <row r="130" spans="1:16" ht="19.5" customHeight="1">
      <c r="A130" s="44" t="s">
        <v>0</v>
      </c>
      <c r="B130" s="382" t="s">
        <v>74</v>
      </c>
      <c r="C130" s="54" t="s">
        <v>16</v>
      </c>
      <c r="D130" s="1">
        <f>SUM('㈱塩釜:牡鹿'!D130)</f>
        <v>0.01</v>
      </c>
      <c r="E130" s="1">
        <f>SUM('㈱塩釜:牡鹿'!E130)</f>
        <v>0.01</v>
      </c>
      <c r="F130" s="1">
        <f>SUM('㈱塩釜:牡鹿'!F130)</f>
        <v>0.016</v>
      </c>
      <c r="G130" s="1"/>
      <c r="H130" s="1">
        <f>SUM('㈱塩釜:牡鹿'!H130)</f>
        <v>0.0065</v>
      </c>
      <c r="I130" s="1">
        <f>SUM('㈱塩釜:牡鹿'!I130)</f>
        <v>0</v>
      </c>
      <c r="J130" s="1"/>
      <c r="K130" s="1"/>
      <c r="L130" s="1"/>
      <c r="M130" s="1"/>
      <c r="N130" s="1"/>
      <c r="O130" s="1">
        <f>SUM('㈱塩釜:牡鹿'!O130)</f>
        <v>0</v>
      </c>
      <c r="P130" s="8">
        <f>SUM('㈱塩釜:牡鹿'!P130)</f>
        <v>0.0425</v>
      </c>
    </row>
    <row r="131" spans="1:16" ht="19.5" customHeight="1">
      <c r="A131" s="44" t="s">
        <v>0</v>
      </c>
      <c r="B131" s="383"/>
      <c r="C131" s="48" t="s">
        <v>18</v>
      </c>
      <c r="D131" s="2">
        <f>SUM('㈱塩釜:牡鹿'!D131)</f>
        <v>2.52</v>
      </c>
      <c r="E131" s="2">
        <f>SUM('㈱塩釜:牡鹿'!E131)</f>
        <v>2.52</v>
      </c>
      <c r="F131" s="2">
        <f>SUM('㈱塩釜:牡鹿'!F131)</f>
        <v>19.32</v>
      </c>
      <c r="G131" s="2"/>
      <c r="H131" s="2">
        <f>SUM('㈱塩釜:牡鹿'!H131)</f>
        <v>19.299</v>
      </c>
      <c r="I131" s="2">
        <f>SUM('㈱塩釜:牡鹿'!I131)</f>
        <v>5.319</v>
      </c>
      <c r="J131" s="2"/>
      <c r="K131" s="2"/>
      <c r="L131" s="2"/>
      <c r="M131" s="2"/>
      <c r="N131" s="2"/>
      <c r="O131" s="2">
        <f>SUM('㈱塩釜:牡鹿'!O131)</f>
        <v>6.134</v>
      </c>
      <c r="P131" s="9">
        <f>SUM('㈱塩釜:牡鹿'!P131)</f>
        <v>55.112</v>
      </c>
    </row>
    <row r="132" spans="1:16" ht="19.5" customHeight="1">
      <c r="A132" s="45" t="s">
        <v>75</v>
      </c>
      <c r="B132" s="382" t="s">
        <v>76</v>
      </c>
      <c r="C132" s="54" t="s">
        <v>16</v>
      </c>
      <c r="D132" s="1">
        <f>SUM('㈱塩釜:牡鹿'!D132)</f>
        <v>35.345800000000004</v>
      </c>
      <c r="E132" s="1">
        <f>SUM('㈱塩釜:牡鹿'!E132)</f>
        <v>41.8615</v>
      </c>
      <c r="F132" s="1">
        <f>SUM('㈱塩釜:牡鹿'!F132)</f>
        <v>48.76</v>
      </c>
      <c r="G132" s="1">
        <f>SUM('㈱塩釜:牡鹿'!G132)</f>
        <v>22.212</v>
      </c>
      <c r="H132" s="1">
        <f>SUM('㈱塩釜:牡鹿'!H132)</f>
        <v>2.5375</v>
      </c>
      <c r="I132" s="1">
        <f>SUM('㈱塩釜:牡鹿'!I132)</f>
        <v>1.099</v>
      </c>
      <c r="J132" s="1">
        <f>SUM('㈱塩釜:牡鹿'!J132)</f>
        <v>0.13</v>
      </c>
      <c r="K132" s="1">
        <f>SUM('㈱塩釜:牡鹿'!K132)</f>
        <v>0</v>
      </c>
      <c r="L132" s="1">
        <f>SUM('㈱塩釜:牡鹿'!L132)</f>
        <v>0</v>
      </c>
      <c r="M132" s="1"/>
      <c r="N132" s="1"/>
      <c r="O132" s="1">
        <f>SUM('㈱塩釜:牡鹿'!O132)</f>
        <v>7.8182</v>
      </c>
      <c r="P132" s="8">
        <f>SUM('㈱塩釜:牡鹿'!P132)</f>
        <v>159.90149999999997</v>
      </c>
    </row>
    <row r="133" spans="1:16" ht="19.5" customHeight="1">
      <c r="A133" s="45"/>
      <c r="B133" s="383"/>
      <c r="C133" s="48" t="s">
        <v>18</v>
      </c>
      <c r="D133" s="2">
        <f>SUM('㈱塩釜:牡鹿'!D133)</f>
        <v>8074.026002637665</v>
      </c>
      <c r="E133" s="2">
        <f>SUM('㈱塩釜:牡鹿'!E133)</f>
        <v>7553.005003813444</v>
      </c>
      <c r="F133" s="2">
        <f>SUM('㈱塩釜:牡鹿'!F133)</f>
        <v>7723.047</v>
      </c>
      <c r="G133" s="2">
        <f>SUM('㈱塩釜:牡鹿'!G133)</f>
        <v>5404.087999306895</v>
      </c>
      <c r="H133" s="2">
        <f>SUM('㈱塩釜:牡鹿'!H133)</f>
        <v>686.791</v>
      </c>
      <c r="I133" s="2">
        <f>SUM('㈱塩釜:牡鹿'!I133)</f>
        <v>38.34</v>
      </c>
      <c r="J133" s="2">
        <f>SUM('㈱塩釜:牡鹿'!J133)</f>
        <v>32.13</v>
      </c>
      <c r="K133" s="2">
        <f>SUM('㈱塩釜:牡鹿'!K133)</f>
        <v>46.17</v>
      </c>
      <c r="L133" s="2">
        <f>SUM('㈱塩釜:牡鹿'!L133)</f>
        <v>15.39</v>
      </c>
      <c r="M133" s="2"/>
      <c r="N133" s="2"/>
      <c r="O133" s="2">
        <f>SUM('㈱塩釜:牡鹿'!O133)</f>
        <v>2354.649</v>
      </c>
      <c r="P133" s="9">
        <f>SUM('㈱塩釜:牡鹿'!P133)</f>
        <v>32004.704005758005</v>
      </c>
    </row>
    <row r="134" spans="1:16" ht="19.5" customHeight="1">
      <c r="A134" s="45" t="s">
        <v>77</v>
      </c>
      <c r="B134" s="47" t="s">
        <v>20</v>
      </c>
      <c r="C134" s="140" t="s">
        <v>16</v>
      </c>
      <c r="D134" s="201">
        <f>SUM('㈱塩釜:牡鹿'!D134)</f>
        <v>10.347000000000001</v>
      </c>
      <c r="E134" s="201">
        <f>SUM('㈱塩釜:牡鹿'!E134)</f>
        <v>74.3565</v>
      </c>
      <c r="F134" s="201">
        <f>SUM('㈱塩釜:牡鹿'!F134)</f>
        <v>159.359</v>
      </c>
      <c r="G134" s="201">
        <f>SUM('㈱塩釜:牡鹿'!G134)</f>
        <v>295.8141</v>
      </c>
      <c r="H134" s="201">
        <f>SUM('㈱塩釜:牡鹿'!H134)</f>
        <v>112.6057</v>
      </c>
      <c r="I134" s="201">
        <f>SUM('㈱塩釜:牡鹿'!I134)</f>
        <v>0.10700000000000001</v>
      </c>
      <c r="J134" s="201"/>
      <c r="K134" s="201">
        <f>SUM('㈱塩釜:牡鹿'!K134)</f>
        <v>0.027</v>
      </c>
      <c r="L134" s="201">
        <f>SUM('㈱塩釜:牡鹿'!L134)</f>
        <v>0.0473</v>
      </c>
      <c r="M134" s="201">
        <f>SUM('㈱塩釜:牡鹿'!M134)</f>
        <v>0.008</v>
      </c>
      <c r="N134" s="201">
        <f>SUM('㈱塩釜:牡鹿'!N134)</f>
        <v>1.6141</v>
      </c>
      <c r="O134" s="201">
        <f>SUM('㈱塩釜:牡鹿'!O134)</f>
        <v>1.7679</v>
      </c>
      <c r="P134" s="194">
        <f>SUM('㈱塩釜:牡鹿'!P134)</f>
        <v>656.0536</v>
      </c>
    </row>
    <row r="135" spans="1:16" ht="19.5" customHeight="1">
      <c r="A135" s="45"/>
      <c r="B135" s="47" t="s">
        <v>178</v>
      </c>
      <c r="C135" s="54" t="s">
        <v>79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8"/>
    </row>
    <row r="136" spans="1:16" ht="19.5" customHeight="1">
      <c r="A136" s="45" t="s">
        <v>23</v>
      </c>
      <c r="B136" s="2"/>
      <c r="C136" s="48" t="s">
        <v>18</v>
      </c>
      <c r="D136" s="2">
        <f>SUM('㈱塩釜:牡鹿'!D136)</f>
        <v>4752.599018048429</v>
      </c>
      <c r="E136" s="2">
        <f>SUM('㈱塩釜:牡鹿'!E136)</f>
        <v>12884.193080385652</v>
      </c>
      <c r="F136" s="2">
        <f>SUM('㈱塩釜:牡鹿'!F136)</f>
        <v>9684.51902903268</v>
      </c>
      <c r="G136" s="2">
        <f>SUM('㈱塩釜:牡鹿'!G136)</f>
        <v>6297.70899990215</v>
      </c>
      <c r="H136" s="2">
        <f>SUM('㈱塩釜:牡鹿'!H136)</f>
        <v>1762.497</v>
      </c>
      <c r="I136" s="2">
        <f>SUM('㈱塩釜:牡鹿'!I136)</f>
        <v>98.13900000000001</v>
      </c>
      <c r="J136" s="2"/>
      <c r="K136" s="2">
        <f>SUM('㈱塩釜:牡鹿'!K136)</f>
        <v>26.082</v>
      </c>
      <c r="L136" s="2">
        <f>SUM('㈱塩釜:牡鹿'!L136)</f>
        <v>42.444</v>
      </c>
      <c r="M136" s="2">
        <f>SUM('㈱塩釜:牡鹿'!M136)</f>
        <v>7.344</v>
      </c>
      <c r="N136" s="2">
        <f>SUM('㈱塩釜:牡鹿'!N136)</f>
        <v>320.317</v>
      </c>
      <c r="O136" s="2">
        <f>SUM('㈱塩釜:牡鹿'!O136)</f>
        <v>434.92</v>
      </c>
      <c r="P136" s="9">
        <f>SUM('㈱塩釜:牡鹿'!P136)</f>
        <v>36310.763127368904</v>
      </c>
    </row>
    <row r="137" spans="1:16" ht="19.5" customHeight="1">
      <c r="A137" s="45"/>
      <c r="B137" s="55" t="s">
        <v>0</v>
      </c>
      <c r="C137" s="140" t="s">
        <v>16</v>
      </c>
      <c r="D137" s="201">
        <f>SUM('㈱塩釜:牡鹿'!D137)</f>
        <v>45.70280000000001</v>
      </c>
      <c r="E137" s="201">
        <f>SUM('㈱塩釜:牡鹿'!E137)</f>
        <v>116.22800000000001</v>
      </c>
      <c r="F137" s="201">
        <f>SUM('㈱塩釜:牡鹿'!F137)</f>
        <v>208.13500000000002</v>
      </c>
      <c r="G137" s="201">
        <f>SUM('㈱塩釜:牡鹿'!G137)</f>
        <v>318.02610000000004</v>
      </c>
      <c r="H137" s="201">
        <f>SUM('㈱塩釜:牡鹿'!H137)</f>
        <v>115.1497</v>
      </c>
      <c r="I137" s="201">
        <f>SUM('㈱塩釜:牡鹿'!I137)</f>
        <v>1.206</v>
      </c>
      <c r="J137" s="201">
        <f>SUM('㈱塩釜:牡鹿'!J137)</f>
        <v>0.13</v>
      </c>
      <c r="K137" s="201">
        <f>SUM('㈱塩釜:牡鹿'!K137)</f>
        <v>0.027</v>
      </c>
      <c r="L137" s="201">
        <f>SUM('㈱塩釜:牡鹿'!L137)</f>
        <v>0.0473</v>
      </c>
      <c r="M137" s="201">
        <f>SUM('㈱塩釜:牡鹿'!M137)</f>
        <v>0.008</v>
      </c>
      <c r="N137" s="201">
        <f>SUM('㈱塩釜:牡鹿'!N137)</f>
        <v>1.7516</v>
      </c>
      <c r="O137" s="201">
        <f>SUM('㈱塩釜:牡鹿'!O137)</f>
        <v>9.5861</v>
      </c>
      <c r="P137" s="194">
        <f>SUM('㈱塩釜:牡鹿'!P137)</f>
        <v>815.9975999999999</v>
      </c>
    </row>
    <row r="138" spans="1:16" ht="19.5" customHeight="1">
      <c r="A138" s="50"/>
      <c r="B138" s="56" t="s">
        <v>195</v>
      </c>
      <c r="C138" s="54" t="s">
        <v>79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8"/>
    </row>
    <row r="139" spans="1:16" ht="19.5" customHeight="1">
      <c r="A139" s="49"/>
      <c r="B139" s="2"/>
      <c r="C139" s="139" t="s">
        <v>18</v>
      </c>
      <c r="D139" s="204">
        <f>SUM('㈱塩釜:牡鹿'!D139)</f>
        <v>12829.145020686094</v>
      </c>
      <c r="E139" s="204">
        <f>SUM('㈱塩釜:牡鹿'!E139)</f>
        <v>20439.7180841991</v>
      </c>
      <c r="F139" s="204">
        <f>SUM('㈱塩釜:牡鹿'!F139)</f>
        <v>17426.886029032677</v>
      </c>
      <c r="G139" s="204">
        <f>SUM('㈱塩釜:牡鹿'!G139)</f>
        <v>11701.796999209044</v>
      </c>
      <c r="H139" s="204">
        <f>SUM('㈱塩釜:牡鹿'!H139)</f>
        <v>2468.587</v>
      </c>
      <c r="I139" s="204">
        <f>SUM('㈱塩釜:牡鹿'!I139)</f>
        <v>141.798</v>
      </c>
      <c r="J139" s="204">
        <f>SUM('㈱塩釜:牡鹿'!J139)</f>
        <v>32.13</v>
      </c>
      <c r="K139" s="204">
        <f>SUM('㈱塩釜:牡鹿'!K139)</f>
        <v>72.252</v>
      </c>
      <c r="L139" s="204">
        <f>SUM('㈱塩釜:牡鹿'!L139)</f>
        <v>57.834</v>
      </c>
      <c r="M139" s="204">
        <f>SUM('㈱塩釜:牡鹿'!M139)</f>
        <v>7.344</v>
      </c>
      <c r="N139" s="204">
        <f>SUM('㈱塩釜:牡鹿'!N139)</f>
        <v>397.385</v>
      </c>
      <c r="O139" s="204">
        <f>SUM('㈱塩釜:牡鹿'!O139)</f>
        <v>2795.703</v>
      </c>
      <c r="P139" s="17">
        <f>SUM('㈱塩釜:牡鹿'!P139)</f>
        <v>68370.5791331269</v>
      </c>
    </row>
    <row r="140" spans="1:16" s="80" customFormat="1" ht="19.5" customHeight="1">
      <c r="A140" s="57"/>
      <c r="B140" s="58" t="s">
        <v>0</v>
      </c>
      <c r="C140" s="62" t="s">
        <v>16</v>
      </c>
      <c r="D140" s="5">
        <f>SUM('㈱塩釜:牡鹿'!D140)</f>
        <v>15956.509759999999</v>
      </c>
      <c r="E140" s="5">
        <f>SUM('㈱塩釜:牡鹿'!E140)</f>
        <v>9051.369929999999</v>
      </c>
      <c r="F140" s="5">
        <f>SUM('㈱塩釜:牡鹿'!F140)</f>
        <v>11095.843729999999</v>
      </c>
      <c r="G140" s="5">
        <f>SUM('㈱塩釜:牡鹿'!G140)</f>
        <v>14970.205899999999</v>
      </c>
      <c r="H140" s="5">
        <f>SUM('㈱塩釜:牡鹿'!H140)</f>
        <v>12284.79096</v>
      </c>
      <c r="I140" s="5">
        <f>SUM('㈱塩釜:牡鹿'!I140)</f>
        <v>22948.979000000003</v>
      </c>
      <c r="J140" s="5">
        <f>SUM('㈱塩釜:牡鹿'!J140)</f>
        <v>30296.032170000002</v>
      </c>
      <c r="K140" s="5">
        <f>SUM('㈱塩釜:牡鹿'!K140)</f>
        <v>17084.99965</v>
      </c>
      <c r="L140" s="5">
        <f>SUM('㈱塩釜:牡鹿'!L140)</f>
        <v>24974.907219999994</v>
      </c>
      <c r="M140" s="5">
        <f>SUM('㈱塩釜:牡鹿'!M140)</f>
        <v>36759.815019999995</v>
      </c>
      <c r="N140" s="5">
        <f>SUM('㈱塩釜:牡鹿'!N140)</f>
        <v>43435.68299999999</v>
      </c>
      <c r="O140" s="5">
        <f>SUM('㈱塩釜:牡鹿'!O140)</f>
        <v>19242.64907</v>
      </c>
      <c r="P140" s="200">
        <f>SUM('㈱塩釜:牡鹿'!P140)</f>
        <v>258101.78541</v>
      </c>
    </row>
    <row r="141" spans="1:16" s="80" customFormat="1" ht="19.5" customHeight="1">
      <c r="A141" s="57"/>
      <c r="B141" s="61" t="s">
        <v>131</v>
      </c>
      <c r="C141" s="62" t="s">
        <v>79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15"/>
    </row>
    <row r="142" spans="1:16" s="80" customFormat="1" ht="19.5" customHeight="1" thickBot="1">
      <c r="A142" s="63"/>
      <c r="B142" s="64"/>
      <c r="C142" s="65" t="s">
        <v>18</v>
      </c>
      <c r="D142" s="6">
        <f>SUM('㈱塩釜:牡鹿'!D142)</f>
        <v>2909972.91792</v>
      </c>
      <c r="E142" s="6">
        <f>SUM('㈱塩釜:牡鹿'!E142)</f>
        <v>1613325.74276</v>
      </c>
      <c r="F142" s="6">
        <f>SUM('㈱塩釜:牡鹿'!F142)</f>
        <v>1695804.4884799998</v>
      </c>
      <c r="G142" s="6">
        <f>SUM('㈱塩釜:牡鹿'!G142)</f>
        <v>2554000.86972</v>
      </c>
      <c r="H142" s="6">
        <f>SUM('㈱塩釜:牡鹿'!H142)</f>
        <v>2981952.10064</v>
      </c>
      <c r="I142" s="6">
        <f>SUM('㈱塩釜:牡鹿'!I142)</f>
        <v>5800952.176960001</v>
      </c>
      <c r="J142" s="6">
        <f>SUM('㈱塩釜:牡鹿'!J142)</f>
        <v>9024098.74548</v>
      </c>
      <c r="K142" s="6">
        <f>SUM('㈱塩釜:牡鹿'!K142)</f>
        <v>5046472.908080001</v>
      </c>
      <c r="L142" s="6">
        <f>SUM('㈱塩釜:牡鹿'!L142)</f>
        <v>6093512.161359999</v>
      </c>
      <c r="M142" s="6">
        <f>SUM('㈱塩釜:牡鹿'!M142)</f>
        <v>7102746.214519999</v>
      </c>
      <c r="N142" s="6">
        <f>SUM('㈱塩釜:牡鹿'!N142)</f>
        <v>5830035.690519999</v>
      </c>
      <c r="O142" s="6">
        <f>SUM('㈱塩釜:牡鹿'!O142)</f>
        <v>3591924.00224</v>
      </c>
      <c r="P142" s="7">
        <f>SUM('㈱塩釜:牡鹿'!P142)</f>
        <v>54244798.01868001</v>
      </c>
    </row>
    <row r="143" ht="18.75">
      <c r="P143" s="67" t="s">
        <v>92</v>
      </c>
    </row>
  </sheetData>
  <sheetProtection/>
  <mergeCells count="52">
    <mergeCell ref="B5:B6"/>
    <mergeCell ref="B9:B10"/>
    <mergeCell ref="A11:B12"/>
    <mergeCell ref="B13:B14"/>
    <mergeCell ref="B31:B32"/>
    <mergeCell ref="B33:B34"/>
    <mergeCell ref="B15:B16"/>
    <mergeCell ref="B17:B18"/>
    <mergeCell ref="B21:B22"/>
    <mergeCell ref="B23:B24"/>
    <mergeCell ref="B25:B26"/>
    <mergeCell ref="B29:B30"/>
    <mergeCell ref="B37:B38"/>
    <mergeCell ref="A39:B40"/>
    <mergeCell ref="A41:B42"/>
    <mergeCell ref="A43:B44"/>
    <mergeCell ref="A45:B46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B88:B89"/>
    <mergeCell ref="A90:B91"/>
    <mergeCell ref="A92:B93"/>
    <mergeCell ref="A94:B95"/>
    <mergeCell ref="A96:B97"/>
    <mergeCell ref="A98:B99"/>
    <mergeCell ref="A100:B101"/>
    <mergeCell ref="B114:B115"/>
    <mergeCell ref="B116:B117"/>
    <mergeCell ref="A102:B103"/>
    <mergeCell ref="A104:B105"/>
    <mergeCell ref="B106:B107"/>
    <mergeCell ref="B108:B109"/>
    <mergeCell ref="A1:P1"/>
    <mergeCell ref="B128:B129"/>
    <mergeCell ref="B130:B131"/>
    <mergeCell ref="B132:B133"/>
    <mergeCell ref="B118:B119"/>
    <mergeCell ref="B120:B121"/>
    <mergeCell ref="B122:B123"/>
    <mergeCell ref="B124:B125"/>
    <mergeCell ref="B110:B111"/>
    <mergeCell ref="B112:B113"/>
  </mergeCells>
  <printOptions/>
  <pageMargins left="0.7" right="0.7" top="0.75" bottom="0.75" header="0.3" footer="0.3"/>
  <pageSetup firstPageNumber="45" useFirstPageNumber="1" fitToHeight="2" fitToWidth="1" horizontalDpi="600" verticalDpi="600" orientation="landscape" paperSize="9" scale="36" r:id="rId1"/>
  <rowBreaks count="1" manualBreakCount="1">
    <brk id="7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zoomScale="50" zoomScaleNormal="50" zoomScalePageLayoutView="0" workbookViewId="0" topLeftCell="A1">
      <pane xSplit="3" ySplit="4" topLeftCell="D5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4" width="22.625" style="11" customWidth="1"/>
    <col min="5" max="15" width="22.625" style="70" customWidth="1"/>
    <col min="16" max="16" width="25.625" style="37" customWidth="1"/>
    <col min="17" max="16384" width="9.00390625" style="38" customWidth="1"/>
  </cols>
  <sheetData>
    <row r="1" spans="1:16" ht="30.75" customHeight="1">
      <c r="A1" s="375" t="s">
        <v>104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ht="30.75" customHeight="1">
      <c r="B2" s="36"/>
    </row>
    <row r="3" spans="1:15" ht="19.5" customHeight="1" thickBot="1">
      <c r="A3" s="12" t="s">
        <v>222</v>
      </c>
      <c r="B3" s="39"/>
      <c r="C3" s="12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6" ht="19.5" customHeight="1">
      <c r="A4" s="40"/>
      <c r="B4" s="41"/>
      <c r="C4" s="41"/>
      <c r="D4" s="42" t="s">
        <v>2</v>
      </c>
      <c r="E4" s="82" t="s">
        <v>3</v>
      </c>
      <c r="F4" s="82" t="s">
        <v>4</v>
      </c>
      <c r="G4" s="82" t="s">
        <v>5</v>
      </c>
      <c r="H4" s="82" t="s">
        <v>6</v>
      </c>
      <c r="I4" s="82" t="s">
        <v>7</v>
      </c>
      <c r="J4" s="82" t="s">
        <v>8</v>
      </c>
      <c r="K4" s="82" t="s">
        <v>9</v>
      </c>
      <c r="L4" s="82" t="s">
        <v>10</v>
      </c>
      <c r="M4" s="82" t="s">
        <v>11</v>
      </c>
      <c r="N4" s="82" t="s">
        <v>12</v>
      </c>
      <c r="O4" s="82" t="s">
        <v>13</v>
      </c>
      <c r="P4" s="43" t="s">
        <v>14</v>
      </c>
    </row>
    <row r="5" spans="1:16" ht="19.5" customHeight="1">
      <c r="A5" s="45" t="s">
        <v>0</v>
      </c>
      <c r="B5" s="382" t="s">
        <v>15</v>
      </c>
      <c r="C5" s="54" t="s">
        <v>16</v>
      </c>
      <c r="D5" s="1"/>
      <c r="E5" s="5"/>
      <c r="F5" s="5"/>
      <c r="G5" s="5"/>
      <c r="H5" s="5"/>
      <c r="I5" s="5"/>
      <c r="J5" s="5"/>
      <c r="K5" s="5"/>
      <c r="L5" s="5"/>
      <c r="M5" s="5">
        <v>0.853</v>
      </c>
      <c r="N5" s="5"/>
      <c r="O5" s="5"/>
      <c r="P5" s="8">
        <f>SUM(D5:O5)</f>
        <v>0.853</v>
      </c>
    </row>
    <row r="6" spans="1:16" ht="19.5" customHeight="1">
      <c r="A6" s="45" t="s">
        <v>17</v>
      </c>
      <c r="B6" s="383"/>
      <c r="C6" s="48" t="s">
        <v>18</v>
      </c>
      <c r="D6" s="2"/>
      <c r="E6" s="34"/>
      <c r="F6" s="34"/>
      <c r="G6" s="34"/>
      <c r="H6" s="34"/>
      <c r="I6" s="34"/>
      <c r="J6" s="34"/>
      <c r="K6" s="34"/>
      <c r="L6" s="34"/>
      <c r="M6" s="34">
        <v>17.503</v>
      </c>
      <c r="N6" s="34"/>
      <c r="O6" s="34"/>
      <c r="P6" s="9">
        <f>SUM(D6:O6)</f>
        <v>17.503</v>
      </c>
    </row>
    <row r="7" spans="1:16" ht="19.5" customHeight="1">
      <c r="A7" s="45" t="s">
        <v>19</v>
      </c>
      <c r="B7" s="47" t="s">
        <v>20</v>
      </c>
      <c r="C7" s="54" t="s">
        <v>16</v>
      </c>
      <c r="D7" s="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8"/>
    </row>
    <row r="8" spans="1:16" ht="19.5" customHeight="1">
      <c r="A8" s="45" t="s">
        <v>21</v>
      </c>
      <c r="B8" s="48" t="s">
        <v>153</v>
      </c>
      <c r="C8" s="48" t="s">
        <v>18</v>
      </c>
      <c r="D8" s="2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9"/>
    </row>
    <row r="9" spans="1:16" s="60" customFormat="1" ht="19.5" customHeight="1">
      <c r="A9" s="95" t="s">
        <v>23</v>
      </c>
      <c r="B9" s="388" t="s">
        <v>114</v>
      </c>
      <c r="C9" s="62" t="s">
        <v>16</v>
      </c>
      <c r="D9" s="5"/>
      <c r="E9" s="5"/>
      <c r="F9" s="5"/>
      <c r="G9" s="5"/>
      <c r="H9" s="5"/>
      <c r="I9" s="5"/>
      <c r="J9" s="5"/>
      <c r="K9" s="5"/>
      <c r="L9" s="5"/>
      <c r="M9" s="5">
        <f>M5+M7</f>
        <v>0.853</v>
      </c>
      <c r="N9" s="5"/>
      <c r="O9" s="5"/>
      <c r="P9" s="15">
        <f>SUM(D9:O9)</f>
        <v>0.853</v>
      </c>
    </row>
    <row r="10" spans="1:16" s="60" customFormat="1" ht="19.5" customHeight="1">
      <c r="A10" s="96"/>
      <c r="B10" s="389"/>
      <c r="C10" s="91" t="s">
        <v>18</v>
      </c>
      <c r="D10" s="34"/>
      <c r="E10" s="34"/>
      <c r="F10" s="34"/>
      <c r="G10" s="34"/>
      <c r="H10" s="34"/>
      <c r="I10" s="34"/>
      <c r="J10" s="34"/>
      <c r="K10" s="34"/>
      <c r="L10" s="34"/>
      <c r="M10" s="34">
        <f>M6+M8</f>
        <v>17.503</v>
      </c>
      <c r="N10" s="34"/>
      <c r="O10" s="34"/>
      <c r="P10" s="92">
        <f>SUM(D10:O10)</f>
        <v>17.503</v>
      </c>
    </row>
    <row r="11" spans="1:16" ht="19.5" customHeight="1">
      <c r="A11" s="376" t="s">
        <v>25</v>
      </c>
      <c r="B11" s="377"/>
      <c r="C11" s="54" t="s">
        <v>16</v>
      </c>
      <c r="D11" s="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8"/>
    </row>
    <row r="12" spans="1:16" ht="19.5" customHeight="1">
      <c r="A12" s="378"/>
      <c r="B12" s="379"/>
      <c r="C12" s="48" t="s">
        <v>18</v>
      </c>
      <c r="D12" s="2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9"/>
    </row>
    <row r="13" spans="1:16" ht="19.5" customHeight="1">
      <c r="A13" s="50"/>
      <c r="B13" s="382" t="s">
        <v>26</v>
      </c>
      <c r="C13" s="54" t="s">
        <v>16</v>
      </c>
      <c r="D13" s="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8"/>
    </row>
    <row r="14" spans="1:16" ht="19.5" customHeight="1">
      <c r="A14" s="44" t="s">
        <v>0</v>
      </c>
      <c r="B14" s="383"/>
      <c r="C14" s="48" t="s">
        <v>18</v>
      </c>
      <c r="D14" s="2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9"/>
    </row>
    <row r="15" spans="1:16" ht="19.5" customHeight="1">
      <c r="A15" s="45" t="s">
        <v>27</v>
      </c>
      <c r="B15" s="382" t="s">
        <v>28</v>
      </c>
      <c r="C15" s="54" t="s">
        <v>16</v>
      </c>
      <c r="D15" s="1"/>
      <c r="E15" s="5"/>
      <c r="F15" s="5"/>
      <c r="G15" s="5"/>
      <c r="H15" s="5"/>
      <c r="I15" s="5">
        <v>0.049</v>
      </c>
      <c r="J15" s="5">
        <v>0</v>
      </c>
      <c r="K15" s="5"/>
      <c r="L15" s="5"/>
      <c r="M15" s="5">
        <v>0.0942</v>
      </c>
      <c r="N15" s="5">
        <v>0.011</v>
      </c>
      <c r="O15" s="5"/>
      <c r="P15" s="8">
        <f>SUM(D15:O15)</f>
        <v>0.1542</v>
      </c>
    </row>
    <row r="16" spans="1:16" ht="19.5" customHeight="1">
      <c r="A16" s="45" t="s">
        <v>0</v>
      </c>
      <c r="B16" s="383"/>
      <c r="C16" s="48" t="s">
        <v>18</v>
      </c>
      <c r="D16" s="2"/>
      <c r="E16" s="34"/>
      <c r="F16" s="34"/>
      <c r="G16" s="34"/>
      <c r="H16" s="34"/>
      <c r="I16" s="34">
        <v>27.216</v>
      </c>
      <c r="J16" s="34">
        <v>25.92</v>
      </c>
      <c r="K16" s="34"/>
      <c r="L16" s="34"/>
      <c r="M16" s="34">
        <v>87.966</v>
      </c>
      <c r="N16" s="34">
        <v>7.128</v>
      </c>
      <c r="O16" s="34"/>
      <c r="P16" s="9">
        <f>SUM(D16:O16)</f>
        <v>148.23000000000002</v>
      </c>
    </row>
    <row r="17" spans="1:16" ht="19.5" customHeight="1">
      <c r="A17" s="45" t="s">
        <v>29</v>
      </c>
      <c r="B17" s="382" t="s">
        <v>30</v>
      </c>
      <c r="C17" s="54" t="s">
        <v>16</v>
      </c>
      <c r="D17" s="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8"/>
    </row>
    <row r="18" spans="1:16" ht="19.5" customHeight="1">
      <c r="A18" s="45"/>
      <c r="B18" s="383"/>
      <c r="C18" s="48" t="s">
        <v>18</v>
      </c>
      <c r="D18" s="2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9"/>
    </row>
    <row r="19" spans="1:16" ht="19.5" customHeight="1">
      <c r="A19" s="45" t="s">
        <v>31</v>
      </c>
      <c r="B19" s="47" t="s">
        <v>108</v>
      </c>
      <c r="C19" s="54" t="s">
        <v>16</v>
      </c>
      <c r="D19" s="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8"/>
    </row>
    <row r="20" spans="1:16" ht="19.5" customHeight="1">
      <c r="A20" s="45"/>
      <c r="B20" s="48" t="s">
        <v>109</v>
      </c>
      <c r="C20" s="48" t="s">
        <v>18</v>
      </c>
      <c r="D20" s="2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9"/>
    </row>
    <row r="21" spans="1:16" ht="19.5" customHeight="1">
      <c r="A21" s="45" t="s">
        <v>23</v>
      </c>
      <c r="B21" s="382" t="s">
        <v>32</v>
      </c>
      <c r="C21" s="54" t="s">
        <v>16</v>
      </c>
      <c r="D21" s="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8"/>
    </row>
    <row r="22" spans="1:16" ht="19.5" customHeight="1">
      <c r="A22" s="50"/>
      <c r="B22" s="383"/>
      <c r="C22" s="48" t="s">
        <v>18</v>
      </c>
      <c r="D22" s="2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9"/>
    </row>
    <row r="23" spans="1:16" s="60" customFormat="1" ht="19.5" customHeight="1">
      <c r="A23" s="57"/>
      <c r="B23" s="380" t="s">
        <v>114</v>
      </c>
      <c r="C23" s="62" t="s">
        <v>16</v>
      </c>
      <c r="D23" s="5"/>
      <c r="E23" s="5"/>
      <c r="F23" s="5"/>
      <c r="G23" s="5"/>
      <c r="H23" s="5"/>
      <c r="I23" s="5">
        <f>I13+I15+I17+I19+I21</f>
        <v>0.049</v>
      </c>
      <c r="J23" s="5">
        <f>+J13+J15+J17+J19+J21</f>
        <v>0</v>
      </c>
      <c r="K23" s="5"/>
      <c r="L23" s="5"/>
      <c r="M23" s="5">
        <f>+M13+M15+M17+M19+M21</f>
        <v>0.0942</v>
      </c>
      <c r="N23" s="5">
        <f>+N13+N15+N17+N19+N21</f>
        <v>0.011</v>
      </c>
      <c r="O23" s="5"/>
      <c r="P23" s="15">
        <f>SUM(D23:O23)</f>
        <v>0.1542</v>
      </c>
    </row>
    <row r="24" spans="1:16" s="60" customFormat="1" ht="19.5" customHeight="1">
      <c r="A24" s="90"/>
      <c r="B24" s="381"/>
      <c r="C24" s="91" t="s">
        <v>18</v>
      </c>
      <c r="D24" s="34"/>
      <c r="E24" s="34"/>
      <c r="F24" s="34"/>
      <c r="G24" s="34"/>
      <c r="H24" s="34"/>
      <c r="I24" s="34">
        <f>I14+I16+I18+I20+I22</f>
        <v>27.216</v>
      </c>
      <c r="J24" s="34">
        <f>+J14+J16+J18+J20+J22</f>
        <v>25.92</v>
      </c>
      <c r="K24" s="34"/>
      <c r="L24" s="34"/>
      <c r="M24" s="34">
        <f>+M14+M16+M18+M20+M22</f>
        <v>87.966</v>
      </c>
      <c r="N24" s="34">
        <f>+N14+N16+N18+N20+N22</f>
        <v>7.128</v>
      </c>
      <c r="O24" s="34"/>
      <c r="P24" s="92">
        <f>SUM(D24:O24)</f>
        <v>148.23000000000002</v>
      </c>
    </row>
    <row r="25" spans="1:16" ht="19.5" customHeight="1">
      <c r="A25" s="44" t="s">
        <v>0</v>
      </c>
      <c r="B25" s="382" t="s">
        <v>33</v>
      </c>
      <c r="C25" s="54" t="s">
        <v>16</v>
      </c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8"/>
    </row>
    <row r="26" spans="1:16" ht="19.5" customHeight="1">
      <c r="A26" s="45" t="s">
        <v>34</v>
      </c>
      <c r="B26" s="383"/>
      <c r="C26" s="48" t="s">
        <v>18</v>
      </c>
      <c r="D26" s="2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9"/>
    </row>
    <row r="27" spans="1:16" ht="19.5" customHeight="1">
      <c r="A27" s="45" t="s">
        <v>35</v>
      </c>
      <c r="B27" s="47" t="s">
        <v>20</v>
      </c>
      <c r="C27" s="54" t="s">
        <v>16</v>
      </c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8"/>
    </row>
    <row r="28" spans="1:16" ht="19.5" customHeight="1">
      <c r="A28" s="45" t="s">
        <v>36</v>
      </c>
      <c r="B28" s="48" t="s">
        <v>110</v>
      </c>
      <c r="C28" s="48" t="s">
        <v>18</v>
      </c>
      <c r="D28" s="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9"/>
    </row>
    <row r="29" spans="1:16" s="60" customFormat="1" ht="19.5" customHeight="1">
      <c r="A29" s="95" t="s">
        <v>23</v>
      </c>
      <c r="B29" s="388" t="s">
        <v>114</v>
      </c>
      <c r="C29" s="62" t="s">
        <v>16</v>
      </c>
      <c r="D29" s="5"/>
      <c r="E29" s="5"/>
      <c r="F29" s="5"/>
      <c r="G29" s="5"/>
      <c r="H29" s="5"/>
      <c r="I29" s="5"/>
      <c r="J29" s="5"/>
      <c r="K29" s="5"/>
      <c r="L29" s="5"/>
      <c r="M29" s="83"/>
      <c r="N29" s="5"/>
      <c r="O29" s="5"/>
      <c r="P29" s="15"/>
    </row>
    <row r="30" spans="1:16" s="60" customFormat="1" ht="19.5" customHeight="1">
      <c r="A30" s="90"/>
      <c r="B30" s="389"/>
      <c r="C30" s="91" t="s">
        <v>18</v>
      </c>
      <c r="D30" s="34"/>
      <c r="E30" s="34"/>
      <c r="F30" s="34"/>
      <c r="G30" s="34"/>
      <c r="H30" s="34"/>
      <c r="I30" s="34"/>
      <c r="J30" s="34"/>
      <c r="K30" s="34"/>
      <c r="L30" s="34"/>
      <c r="M30" s="86"/>
      <c r="N30" s="34"/>
      <c r="O30" s="34"/>
      <c r="P30" s="92"/>
    </row>
    <row r="31" spans="1:16" ht="19.5" customHeight="1">
      <c r="A31" s="44" t="s">
        <v>0</v>
      </c>
      <c r="B31" s="382" t="s">
        <v>37</v>
      </c>
      <c r="C31" s="54" t="s">
        <v>16</v>
      </c>
      <c r="D31" s="1">
        <v>6.8332</v>
      </c>
      <c r="E31" s="5">
        <v>4.5594</v>
      </c>
      <c r="F31" s="5">
        <v>0.1648</v>
      </c>
      <c r="G31" s="5">
        <v>2.0081</v>
      </c>
      <c r="H31" s="5">
        <v>0.1113</v>
      </c>
      <c r="I31" s="5"/>
      <c r="J31" s="5"/>
      <c r="K31" s="5"/>
      <c r="L31" s="5"/>
      <c r="M31" s="5"/>
      <c r="N31" s="5">
        <v>0.0024</v>
      </c>
      <c r="O31" s="5">
        <v>0.4456</v>
      </c>
      <c r="P31" s="8">
        <f aca="true" t="shared" si="0" ref="P31:P40">SUM(D31:O31)</f>
        <v>14.1248</v>
      </c>
    </row>
    <row r="32" spans="1:16" ht="19.5" customHeight="1">
      <c r="A32" s="45" t="s">
        <v>38</v>
      </c>
      <c r="B32" s="383"/>
      <c r="C32" s="48" t="s">
        <v>18</v>
      </c>
      <c r="D32" s="2">
        <v>695.291</v>
      </c>
      <c r="E32" s="34">
        <v>401.675</v>
      </c>
      <c r="F32" s="34">
        <v>13.782</v>
      </c>
      <c r="G32" s="34">
        <v>106.709</v>
      </c>
      <c r="H32" s="34">
        <v>3.078</v>
      </c>
      <c r="I32" s="34"/>
      <c r="J32" s="34"/>
      <c r="K32" s="34"/>
      <c r="L32" s="34"/>
      <c r="M32" s="34"/>
      <c r="N32" s="34">
        <v>0.778</v>
      </c>
      <c r="O32" s="34">
        <v>110.598</v>
      </c>
      <c r="P32" s="9">
        <f t="shared" si="0"/>
        <v>1331.911</v>
      </c>
    </row>
    <row r="33" spans="1:16" ht="19.5" customHeight="1">
      <c r="A33" s="45" t="s">
        <v>0</v>
      </c>
      <c r="B33" s="382" t="s">
        <v>39</v>
      </c>
      <c r="C33" s="54" t="s">
        <v>16</v>
      </c>
      <c r="D33" s="1">
        <v>0.0099</v>
      </c>
      <c r="E33" s="5">
        <v>0.0042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8">
        <f t="shared" si="0"/>
        <v>0.014100000000000001</v>
      </c>
    </row>
    <row r="34" spans="1:16" ht="19.5" customHeight="1">
      <c r="A34" s="45" t="s">
        <v>40</v>
      </c>
      <c r="B34" s="383"/>
      <c r="C34" s="48" t="s">
        <v>18</v>
      </c>
      <c r="D34" s="2">
        <v>1.355</v>
      </c>
      <c r="E34" s="34">
        <v>1.407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9">
        <f t="shared" si="0"/>
        <v>2.762</v>
      </c>
    </row>
    <row r="35" spans="1:16" ht="19.5" customHeight="1">
      <c r="A35" s="45"/>
      <c r="B35" s="47" t="s">
        <v>20</v>
      </c>
      <c r="C35" s="54" t="s">
        <v>16</v>
      </c>
      <c r="D35" s="1">
        <v>0.1572</v>
      </c>
      <c r="E35" s="5">
        <v>0.2009</v>
      </c>
      <c r="F35" s="5"/>
      <c r="G35" s="5">
        <v>0.0026</v>
      </c>
      <c r="H35" s="5">
        <v>0.1862</v>
      </c>
      <c r="I35" s="5">
        <v>0.0838</v>
      </c>
      <c r="J35" s="5">
        <v>0.006</v>
      </c>
      <c r="K35" s="5">
        <v>0.0012</v>
      </c>
      <c r="L35" s="5"/>
      <c r="M35" s="5">
        <v>0.2107</v>
      </c>
      <c r="N35" s="5">
        <v>0.2246</v>
      </c>
      <c r="O35" s="5">
        <v>0.0669</v>
      </c>
      <c r="P35" s="8">
        <f t="shared" si="0"/>
        <v>1.1401</v>
      </c>
    </row>
    <row r="36" spans="1:16" ht="19.5" customHeight="1">
      <c r="A36" s="45" t="s">
        <v>23</v>
      </c>
      <c r="B36" s="48" t="s">
        <v>111</v>
      </c>
      <c r="C36" s="48" t="s">
        <v>18</v>
      </c>
      <c r="D36" s="2">
        <v>30.805</v>
      </c>
      <c r="E36" s="34">
        <v>32.456</v>
      </c>
      <c r="F36" s="34"/>
      <c r="G36" s="34">
        <v>0.994</v>
      </c>
      <c r="H36" s="34">
        <v>24.211</v>
      </c>
      <c r="I36" s="34">
        <v>8.732</v>
      </c>
      <c r="J36" s="34">
        <v>2.16</v>
      </c>
      <c r="K36" s="34">
        <v>0.367</v>
      </c>
      <c r="L36" s="34"/>
      <c r="M36" s="34">
        <v>42.585</v>
      </c>
      <c r="N36" s="34">
        <v>50.155</v>
      </c>
      <c r="O36" s="34">
        <v>14.975</v>
      </c>
      <c r="P36" s="9">
        <f t="shared" si="0"/>
        <v>207.44</v>
      </c>
    </row>
    <row r="37" spans="1:16" s="60" customFormat="1" ht="19.5" customHeight="1">
      <c r="A37" s="57"/>
      <c r="B37" s="388" t="s">
        <v>114</v>
      </c>
      <c r="C37" s="62" t="s">
        <v>16</v>
      </c>
      <c r="D37" s="5">
        <f>+D31+D33+D35</f>
        <v>7.000299999999999</v>
      </c>
      <c r="E37" s="5">
        <f>+E31+E33+E35</f>
        <v>4.7645</v>
      </c>
      <c r="F37" s="5">
        <f aca="true" t="shared" si="1" ref="E37:O38">+F31+F33+F35</f>
        <v>0.1648</v>
      </c>
      <c r="G37" s="5">
        <f t="shared" si="1"/>
        <v>2.0107000000000004</v>
      </c>
      <c r="H37" s="5">
        <f t="shared" si="1"/>
        <v>0.2975</v>
      </c>
      <c r="I37" s="5">
        <f t="shared" si="1"/>
        <v>0.0838</v>
      </c>
      <c r="J37" s="5">
        <f t="shared" si="1"/>
        <v>0.006</v>
      </c>
      <c r="K37" s="5">
        <f t="shared" si="1"/>
        <v>0.0012</v>
      </c>
      <c r="L37" s="5"/>
      <c r="M37" s="5">
        <f t="shared" si="1"/>
        <v>0.2107</v>
      </c>
      <c r="N37" s="5">
        <f t="shared" si="1"/>
        <v>0.227</v>
      </c>
      <c r="O37" s="5">
        <f t="shared" si="1"/>
        <v>0.5125</v>
      </c>
      <c r="P37" s="15">
        <f t="shared" si="0"/>
        <v>15.278999999999998</v>
      </c>
    </row>
    <row r="38" spans="1:16" s="60" customFormat="1" ht="19.5" customHeight="1">
      <c r="A38" s="90"/>
      <c r="B38" s="389"/>
      <c r="C38" s="91" t="s">
        <v>18</v>
      </c>
      <c r="D38" s="34">
        <f>+D32+D34+D36</f>
        <v>727.451</v>
      </c>
      <c r="E38" s="34">
        <f t="shared" si="1"/>
        <v>435.538</v>
      </c>
      <c r="F38" s="34">
        <f t="shared" si="1"/>
        <v>13.782</v>
      </c>
      <c r="G38" s="34">
        <f t="shared" si="1"/>
        <v>107.703</v>
      </c>
      <c r="H38" s="34">
        <f t="shared" si="1"/>
        <v>27.288999999999998</v>
      </c>
      <c r="I38" s="34">
        <f t="shared" si="1"/>
        <v>8.732</v>
      </c>
      <c r="J38" s="34">
        <f t="shared" si="1"/>
        <v>2.16</v>
      </c>
      <c r="K38" s="34">
        <f t="shared" si="1"/>
        <v>0.367</v>
      </c>
      <c r="L38" s="34"/>
      <c r="M38" s="34">
        <f t="shared" si="1"/>
        <v>42.585</v>
      </c>
      <c r="N38" s="34">
        <f t="shared" si="1"/>
        <v>50.933</v>
      </c>
      <c r="O38" s="34">
        <f t="shared" si="1"/>
        <v>125.573</v>
      </c>
      <c r="P38" s="92">
        <f t="shared" si="0"/>
        <v>1542.113</v>
      </c>
    </row>
    <row r="39" spans="1:16" ht="19.5" customHeight="1">
      <c r="A39" s="376" t="s">
        <v>41</v>
      </c>
      <c r="B39" s="377"/>
      <c r="C39" s="54" t="s">
        <v>16</v>
      </c>
      <c r="D39" s="1">
        <v>0.003</v>
      </c>
      <c r="E39" s="5"/>
      <c r="F39" s="5"/>
      <c r="G39" s="5"/>
      <c r="H39" s="5">
        <v>0.0069</v>
      </c>
      <c r="I39" s="5">
        <v>0.0036</v>
      </c>
      <c r="J39" s="5">
        <v>0.0367</v>
      </c>
      <c r="K39" s="5">
        <v>0.0338</v>
      </c>
      <c r="L39" s="5">
        <v>0.0803</v>
      </c>
      <c r="M39" s="5">
        <v>0.3445</v>
      </c>
      <c r="N39" s="5">
        <v>0.2851</v>
      </c>
      <c r="O39" s="5">
        <v>0.4129</v>
      </c>
      <c r="P39" s="8">
        <f t="shared" si="0"/>
        <v>1.2067999999999999</v>
      </c>
    </row>
    <row r="40" spans="1:16" ht="19.5" customHeight="1">
      <c r="A40" s="378"/>
      <c r="B40" s="379"/>
      <c r="C40" s="48" t="s">
        <v>18</v>
      </c>
      <c r="D40" s="2">
        <v>1.575</v>
      </c>
      <c r="E40" s="34"/>
      <c r="F40" s="34"/>
      <c r="G40" s="34"/>
      <c r="H40" s="34">
        <v>1.036</v>
      </c>
      <c r="I40" s="34">
        <v>4.687</v>
      </c>
      <c r="J40" s="34">
        <v>11.68</v>
      </c>
      <c r="K40" s="34">
        <v>8.181</v>
      </c>
      <c r="L40" s="34">
        <v>17.177</v>
      </c>
      <c r="M40" s="34">
        <v>152.893</v>
      </c>
      <c r="N40" s="34">
        <v>72.241</v>
      </c>
      <c r="O40" s="34">
        <v>94.205</v>
      </c>
      <c r="P40" s="9">
        <f t="shared" si="0"/>
        <v>363.67499999999995</v>
      </c>
    </row>
    <row r="41" spans="1:16" ht="19.5" customHeight="1">
      <c r="A41" s="376" t="s">
        <v>42</v>
      </c>
      <c r="B41" s="377"/>
      <c r="C41" s="54" t="s">
        <v>16</v>
      </c>
      <c r="D41" s="1"/>
      <c r="E41" s="5"/>
      <c r="F41" s="5"/>
      <c r="G41" s="5"/>
      <c r="H41" s="5">
        <v>4.078</v>
      </c>
      <c r="I41" s="5">
        <v>6.4875</v>
      </c>
      <c r="J41" s="5">
        <v>0.3589</v>
      </c>
      <c r="K41" s="5">
        <v>0.0044</v>
      </c>
      <c r="L41" s="5">
        <v>0.1535</v>
      </c>
      <c r="M41" s="5">
        <v>1.9941</v>
      </c>
      <c r="N41" s="5">
        <v>2.5717</v>
      </c>
      <c r="O41" s="5">
        <v>0.33</v>
      </c>
      <c r="P41" s="8">
        <f>SUM(D41:O41)</f>
        <v>15.9781</v>
      </c>
    </row>
    <row r="42" spans="1:16" ht="19.5" customHeight="1">
      <c r="A42" s="378"/>
      <c r="B42" s="379"/>
      <c r="C42" s="48" t="s">
        <v>18</v>
      </c>
      <c r="D42" s="2"/>
      <c r="E42" s="34"/>
      <c r="F42" s="34"/>
      <c r="G42" s="34"/>
      <c r="H42" s="34">
        <v>887.03</v>
      </c>
      <c r="I42" s="34">
        <v>809.86</v>
      </c>
      <c r="J42" s="34">
        <v>25.498</v>
      </c>
      <c r="K42" s="34">
        <v>0.454</v>
      </c>
      <c r="L42" s="34">
        <v>14.896</v>
      </c>
      <c r="M42" s="34">
        <v>167.532</v>
      </c>
      <c r="N42" s="34">
        <v>97.989</v>
      </c>
      <c r="O42" s="34">
        <v>12.312</v>
      </c>
      <c r="P42" s="9">
        <f>SUM(D42:O42)</f>
        <v>2015.5709999999997</v>
      </c>
    </row>
    <row r="43" spans="1:16" ht="19.5" customHeight="1">
      <c r="A43" s="376" t="s">
        <v>43</v>
      </c>
      <c r="B43" s="377"/>
      <c r="C43" s="54" t="s">
        <v>16</v>
      </c>
      <c r="D43" s="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8"/>
    </row>
    <row r="44" spans="1:16" ht="19.5" customHeight="1">
      <c r="A44" s="378"/>
      <c r="B44" s="379"/>
      <c r="C44" s="48" t="s">
        <v>18</v>
      </c>
      <c r="D44" s="2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9"/>
    </row>
    <row r="45" spans="1:16" ht="19.5" customHeight="1">
      <c r="A45" s="376" t="s">
        <v>44</v>
      </c>
      <c r="B45" s="377"/>
      <c r="C45" s="54" t="s">
        <v>16</v>
      </c>
      <c r="D45" s="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8"/>
    </row>
    <row r="46" spans="1:16" ht="19.5" customHeight="1">
      <c r="A46" s="378"/>
      <c r="B46" s="379"/>
      <c r="C46" s="48" t="s">
        <v>18</v>
      </c>
      <c r="D46" s="2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9"/>
    </row>
    <row r="47" spans="1:16" ht="19.5" customHeight="1">
      <c r="A47" s="376" t="s">
        <v>45</v>
      </c>
      <c r="B47" s="377"/>
      <c r="C47" s="54" t="s">
        <v>16</v>
      </c>
      <c r="D47" s="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8"/>
    </row>
    <row r="48" spans="1:16" ht="19.5" customHeight="1">
      <c r="A48" s="378"/>
      <c r="B48" s="379"/>
      <c r="C48" s="48" t="s">
        <v>18</v>
      </c>
      <c r="D48" s="2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9"/>
    </row>
    <row r="49" spans="1:16" ht="19.5" customHeight="1">
      <c r="A49" s="376" t="s">
        <v>46</v>
      </c>
      <c r="B49" s="377"/>
      <c r="C49" s="54" t="s">
        <v>16</v>
      </c>
      <c r="D49" s="1"/>
      <c r="E49" s="5"/>
      <c r="F49" s="5"/>
      <c r="G49" s="5"/>
      <c r="H49" s="5">
        <v>0.1614</v>
      </c>
      <c r="I49" s="5">
        <v>0.0024</v>
      </c>
      <c r="J49" s="5"/>
      <c r="K49" s="5"/>
      <c r="L49" s="5">
        <v>2.816</v>
      </c>
      <c r="M49" s="5">
        <v>1.983</v>
      </c>
      <c r="N49" s="5"/>
      <c r="O49" s="5">
        <v>0.2456</v>
      </c>
      <c r="P49" s="8">
        <f aca="true" t="shared" si="2" ref="P49:P58">SUM(D49:O49)</f>
        <v>5.208399999999999</v>
      </c>
    </row>
    <row r="50" spans="1:16" ht="19.5" customHeight="1">
      <c r="A50" s="378"/>
      <c r="B50" s="379"/>
      <c r="C50" s="48" t="s">
        <v>18</v>
      </c>
      <c r="D50" s="2"/>
      <c r="E50" s="34"/>
      <c r="F50" s="34"/>
      <c r="G50" s="34"/>
      <c r="H50" s="34">
        <v>10.632</v>
      </c>
      <c r="I50" s="34">
        <v>0.389</v>
      </c>
      <c r="J50" s="34"/>
      <c r="K50" s="34"/>
      <c r="L50" s="34">
        <v>48.406</v>
      </c>
      <c r="M50" s="34">
        <v>60.577</v>
      </c>
      <c r="N50" s="34"/>
      <c r="O50" s="34">
        <v>9.917</v>
      </c>
      <c r="P50" s="9">
        <f t="shared" si="2"/>
        <v>129.921</v>
      </c>
    </row>
    <row r="51" spans="1:16" ht="19.5" customHeight="1">
      <c r="A51" s="376" t="s">
        <v>47</v>
      </c>
      <c r="B51" s="377"/>
      <c r="C51" s="54" t="s">
        <v>16</v>
      </c>
      <c r="D51" s="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8"/>
    </row>
    <row r="52" spans="1:16" ht="19.5" customHeight="1">
      <c r="A52" s="378"/>
      <c r="B52" s="379"/>
      <c r="C52" s="48" t="s">
        <v>18</v>
      </c>
      <c r="D52" s="2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9"/>
    </row>
    <row r="53" spans="1:16" ht="19.5" customHeight="1">
      <c r="A53" s="376" t="s">
        <v>48</v>
      </c>
      <c r="B53" s="377"/>
      <c r="C53" s="54" t="s">
        <v>16</v>
      </c>
      <c r="D53" s="1"/>
      <c r="E53" s="5"/>
      <c r="F53" s="5"/>
      <c r="G53" s="5">
        <v>0.1254</v>
      </c>
      <c r="H53" s="5">
        <v>0.1553</v>
      </c>
      <c r="I53" s="5">
        <v>0.0227</v>
      </c>
      <c r="J53" s="5">
        <v>0.0012</v>
      </c>
      <c r="K53" s="5"/>
      <c r="L53" s="5">
        <v>0.059</v>
      </c>
      <c r="M53" s="5">
        <v>104.6157</v>
      </c>
      <c r="N53" s="5">
        <v>107.0108</v>
      </c>
      <c r="O53" s="5">
        <v>6.2265</v>
      </c>
      <c r="P53" s="8">
        <f t="shared" si="2"/>
        <v>218.2166</v>
      </c>
    </row>
    <row r="54" spans="1:16" ht="19.5" customHeight="1">
      <c r="A54" s="378"/>
      <c r="B54" s="379"/>
      <c r="C54" s="48" t="s">
        <v>18</v>
      </c>
      <c r="D54" s="2"/>
      <c r="E54" s="34"/>
      <c r="F54" s="34"/>
      <c r="G54" s="34">
        <v>150.434</v>
      </c>
      <c r="H54" s="34">
        <v>62.036</v>
      </c>
      <c r="I54" s="34">
        <v>6.566</v>
      </c>
      <c r="J54" s="34">
        <v>0.518</v>
      </c>
      <c r="K54" s="34"/>
      <c r="L54" s="34">
        <v>28.214</v>
      </c>
      <c r="M54" s="34">
        <v>44348.072</v>
      </c>
      <c r="N54" s="34">
        <v>47830.327</v>
      </c>
      <c r="O54" s="34">
        <v>2713.64</v>
      </c>
      <c r="P54" s="9">
        <f t="shared" si="2"/>
        <v>95139.80699999999</v>
      </c>
    </row>
    <row r="55" spans="1:16" ht="19.5" customHeight="1">
      <c r="A55" s="44" t="s">
        <v>0</v>
      </c>
      <c r="B55" s="382" t="s">
        <v>132</v>
      </c>
      <c r="C55" s="54" t="s">
        <v>16</v>
      </c>
      <c r="D55" s="1"/>
      <c r="E55" s="5"/>
      <c r="F55" s="5"/>
      <c r="G55" s="5">
        <v>0.0119</v>
      </c>
      <c r="H55" s="5">
        <v>0.1578</v>
      </c>
      <c r="I55" s="5">
        <v>0.7941</v>
      </c>
      <c r="J55" s="5">
        <v>0.2724</v>
      </c>
      <c r="K55" s="5">
        <v>0.1739</v>
      </c>
      <c r="L55" s="5">
        <v>0.0888</v>
      </c>
      <c r="M55" s="5">
        <v>0.1321</v>
      </c>
      <c r="N55" s="5">
        <v>0.1529</v>
      </c>
      <c r="O55" s="5">
        <v>0.0798</v>
      </c>
      <c r="P55" s="8">
        <f t="shared" si="2"/>
        <v>1.8637</v>
      </c>
    </row>
    <row r="56" spans="1:16" ht="19.5" customHeight="1">
      <c r="A56" s="45" t="s">
        <v>38</v>
      </c>
      <c r="B56" s="383"/>
      <c r="C56" s="48" t="s">
        <v>18</v>
      </c>
      <c r="D56" s="2"/>
      <c r="E56" s="34"/>
      <c r="F56" s="34"/>
      <c r="G56" s="34">
        <v>19.116</v>
      </c>
      <c r="H56" s="34">
        <v>159.582</v>
      </c>
      <c r="I56" s="34">
        <v>624.369</v>
      </c>
      <c r="J56" s="34">
        <v>213.505</v>
      </c>
      <c r="K56" s="34">
        <v>116.5</v>
      </c>
      <c r="L56" s="34">
        <v>52.737</v>
      </c>
      <c r="M56" s="34">
        <v>96.844</v>
      </c>
      <c r="N56" s="34">
        <v>106.504</v>
      </c>
      <c r="O56" s="34">
        <v>62.836</v>
      </c>
      <c r="P56" s="9">
        <f t="shared" si="2"/>
        <v>1451.9930000000002</v>
      </c>
    </row>
    <row r="57" spans="1:16" ht="19.5" customHeight="1">
      <c r="A57" s="45" t="s">
        <v>17</v>
      </c>
      <c r="B57" s="47" t="s">
        <v>20</v>
      </c>
      <c r="C57" s="54" t="s">
        <v>16</v>
      </c>
      <c r="D57" s="1"/>
      <c r="E57" s="5"/>
      <c r="F57" s="5"/>
      <c r="G57" s="5"/>
      <c r="H57" s="5">
        <v>0.0129</v>
      </c>
      <c r="I57" s="5">
        <v>0.0388</v>
      </c>
      <c r="J57" s="5">
        <v>0.0481</v>
      </c>
      <c r="K57" s="5">
        <v>0.2096</v>
      </c>
      <c r="L57" s="5">
        <v>0.0254</v>
      </c>
      <c r="M57" s="5">
        <v>0.0124</v>
      </c>
      <c r="N57" s="5"/>
      <c r="O57" s="5"/>
      <c r="P57" s="8">
        <f t="shared" si="2"/>
        <v>0.3472</v>
      </c>
    </row>
    <row r="58" spans="1:16" ht="19.5" customHeight="1">
      <c r="A58" s="45" t="s">
        <v>23</v>
      </c>
      <c r="B58" s="48" t="s">
        <v>113</v>
      </c>
      <c r="C58" s="48" t="s">
        <v>18</v>
      </c>
      <c r="D58" s="2"/>
      <c r="E58" s="34"/>
      <c r="F58" s="34"/>
      <c r="G58" s="34"/>
      <c r="H58" s="34">
        <v>11.88</v>
      </c>
      <c r="I58" s="34">
        <v>25.283</v>
      </c>
      <c r="J58" s="34">
        <v>23.619</v>
      </c>
      <c r="K58" s="34">
        <v>140.646</v>
      </c>
      <c r="L58" s="34">
        <v>20.412</v>
      </c>
      <c r="M58" s="34">
        <v>8.268</v>
      </c>
      <c r="N58" s="34"/>
      <c r="O58" s="34"/>
      <c r="P58" s="9">
        <f t="shared" si="2"/>
        <v>230.108</v>
      </c>
    </row>
    <row r="59" spans="1:16" s="60" customFormat="1" ht="19.5" customHeight="1">
      <c r="A59" s="57"/>
      <c r="B59" s="388" t="s">
        <v>114</v>
      </c>
      <c r="C59" s="62" t="s">
        <v>16</v>
      </c>
      <c r="D59" s="5"/>
      <c r="E59" s="5"/>
      <c r="F59" s="5"/>
      <c r="G59" s="5">
        <f aca="true" t="shared" si="3" ref="G59:I60">G55+G57</f>
        <v>0.0119</v>
      </c>
      <c r="H59" s="5">
        <f>H55+H57</f>
        <v>0.1707</v>
      </c>
      <c r="I59" s="5">
        <f t="shared" si="3"/>
        <v>0.8329</v>
      </c>
      <c r="J59" s="5">
        <f>+J55+J57</f>
        <v>0.32049999999999995</v>
      </c>
      <c r="K59" s="5">
        <f aca="true" t="shared" si="4" ref="K59:N60">+K55+K57</f>
        <v>0.3835</v>
      </c>
      <c r="L59" s="5">
        <f t="shared" si="4"/>
        <v>0.1142</v>
      </c>
      <c r="M59" s="5">
        <f t="shared" si="4"/>
        <v>0.1445</v>
      </c>
      <c r="N59" s="5">
        <f t="shared" si="4"/>
        <v>0.1529</v>
      </c>
      <c r="O59" s="5">
        <f>O55+O57</f>
        <v>0.0798</v>
      </c>
      <c r="P59" s="15">
        <f>P55+P57</f>
        <v>2.2109</v>
      </c>
    </row>
    <row r="60" spans="1:16" s="60" customFormat="1" ht="19.5" customHeight="1">
      <c r="A60" s="90"/>
      <c r="B60" s="389"/>
      <c r="C60" s="91" t="s">
        <v>18</v>
      </c>
      <c r="D60" s="34"/>
      <c r="E60" s="34"/>
      <c r="F60" s="34"/>
      <c r="G60" s="34">
        <f t="shared" si="3"/>
        <v>19.116</v>
      </c>
      <c r="H60" s="34">
        <f t="shared" si="3"/>
        <v>171.462</v>
      </c>
      <c r="I60" s="34">
        <f t="shared" si="3"/>
        <v>649.652</v>
      </c>
      <c r="J60" s="34">
        <f>+J56+J58</f>
        <v>237.124</v>
      </c>
      <c r="K60" s="34">
        <f t="shared" si="4"/>
        <v>257.14599999999996</v>
      </c>
      <c r="L60" s="34">
        <f t="shared" si="4"/>
        <v>73.149</v>
      </c>
      <c r="M60" s="34">
        <f t="shared" si="4"/>
        <v>105.112</v>
      </c>
      <c r="N60" s="34">
        <f t="shared" si="4"/>
        <v>106.504</v>
      </c>
      <c r="O60" s="34">
        <f>O56+O58</f>
        <v>62.836</v>
      </c>
      <c r="P60" s="92">
        <f>P56+P58</f>
        <v>1682.101</v>
      </c>
    </row>
    <row r="61" spans="1:16" ht="19.5" customHeight="1">
      <c r="A61" s="44" t="s">
        <v>0</v>
      </c>
      <c r="B61" s="382" t="s">
        <v>115</v>
      </c>
      <c r="C61" s="54" t="s">
        <v>16</v>
      </c>
      <c r="D61" s="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8">
        <f aca="true" t="shared" si="5" ref="P61:P68">P57+P59</f>
        <v>2.5581</v>
      </c>
    </row>
    <row r="62" spans="1:16" ht="19.5" customHeight="1">
      <c r="A62" s="45" t="s">
        <v>49</v>
      </c>
      <c r="B62" s="383"/>
      <c r="C62" s="48" t="s">
        <v>18</v>
      </c>
      <c r="D62" s="2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9">
        <f t="shared" si="5"/>
        <v>1912.209</v>
      </c>
    </row>
    <row r="63" spans="1:16" ht="19.5" customHeight="1">
      <c r="A63" s="45" t="s">
        <v>0</v>
      </c>
      <c r="B63" s="47" t="s">
        <v>50</v>
      </c>
      <c r="C63" s="54" t="s">
        <v>16</v>
      </c>
      <c r="D63" s="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8">
        <f t="shared" si="5"/>
        <v>4.769</v>
      </c>
    </row>
    <row r="64" spans="1:16" ht="19.5" customHeight="1">
      <c r="A64" s="45" t="s">
        <v>51</v>
      </c>
      <c r="B64" s="48" t="s">
        <v>116</v>
      </c>
      <c r="C64" s="48" t="s">
        <v>18</v>
      </c>
      <c r="D64" s="2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9">
        <f t="shared" si="5"/>
        <v>3594.3100000000004</v>
      </c>
    </row>
    <row r="65" spans="1:16" ht="19.5" customHeight="1">
      <c r="A65" s="45" t="s">
        <v>0</v>
      </c>
      <c r="B65" s="382" t="s">
        <v>53</v>
      </c>
      <c r="C65" s="54" t="s">
        <v>16</v>
      </c>
      <c r="D65" s="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8">
        <f t="shared" si="5"/>
        <v>7.3271</v>
      </c>
    </row>
    <row r="66" spans="1:16" ht="19.5" customHeight="1">
      <c r="A66" s="45" t="s">
        <v>23</v>
      </c>
      <c r="B66" s="383"/>
      <c r="C66" s="48" t="s">
        <v>18</v>
      </c>
      <c r="D66" s="2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9">
        <f t="shared" si="5"/>
        <v>5506.519</v>
      </c>
    </row>
    <row r="67" spans="1:16" ht="19.5" customHeight="1">
      <c r="A67" s="45"/>
      <c r="B67" s="47" t="s">
        <v>20</v>
      </c>
      <c r="C67" s="54" t="s">
        <v>16</v>
      </c>
      <c r="D67" s="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8">
        <f t="shared" si="5"/>
        <v>12.0961</v>
      </c>
    </row>
    <row r="68" spans="1:16" ht="19.5" customHeight="1" thickBot="1">
      <c r="A68" s="51" t="s">
        <v>0</v>
      </c>
      <c r="B68" s="52" t="s">
        <v>116</v>
      </c>
      <c r="C68" s="52" t="s">
        <v>18</v>
      </c>
      <c r="D68" s="1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0">
        <f t="shared" si="5"/>
        <v>9100.829000000002</v>
      </c>
    </row>
    <row r="69" ht="19.5" customHeight="1">
      <c r="P69" s="11"/>
    </row>
    <row r="70" ht="19.5" customHeight="1">
      <c r="P70" s="11"/>
    </row>
    <row r="71" ht="19.5" customHeight="1">
      <c r="P71" s="11"/>
    </row>
    <row r="72" ht="19.5" customHeight="1">
      <c r="P72" s="11"/>
    </row>
    <row r="73" ht="19.5" customHeight="1">
      <c r="P73" s="11"/>
    </row>
    <row r="74" spans="1:16" ht="19.5" customHeight="1" thickBot="1">
      <c r="A74" s="12" t="s">
        <v>222</v>
      </c>
      <c r="B74" s="39"/>
      <c r="C74" s="12"/>
      <c r="D74" s="12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12"/>
    </row>
    <row r="75" spans="1:16" ht="19.5" customHeight="1">
      <c r="A75" s="49"/>
      <c r="B75" s="53"/>
      <c r="C75" s="53"/>
      <c r="D75" s="42" t="s">
        <v>154</v>
      </c>
      <c r="E75" s="82" t="s">
        <v>93</v>
      </c>
      <c r="F75" s="82" t="s">
        <v>94</v>
      </c>
      <c r="G75" s="82" t="s">
        <v>95</v>
      </c>
      <c r="H75" s="82" t="s">
        <v>96</v>
      </c>
      <c r="I75" s="82" t="s">
        <v>97</v>
      </c>
      <c r="J75" s="82" t="s">
        <v>98</v>
      </c>
      <c r="K75" s="82" t="s">
        <v>99</v>
      </c>
      <c r="L75" s="82" t="s">
        <v>100</v>
      </c>
      <c r="M75" s="82" t="s">
        <v>101</v>
      </c>
      <c r="N75" s="82" t="s">
        <v>102</v>
      </c>
      <c r="O75" s="82" t="s">
        <v>103</v>
      </c>
      <c r="P75" s="43" t="s">
        <v>14</v>
      </c>
    </row>
    <row r="76" spans="1:16" s="60" customFormat="1" ht="19.5" customHeight="1">
      <c r="A76" s="95" t="s">
        <v>49</v>
      </c>
      <c r="B76" s="388" t="s">
        <v>117</v>
      </c>
      <c r="C76" s="62" t="s">
        <v>16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15">
        <f>P61+P63+P65+P67</f>
        <v>26.7503</v>
      </c>
    </row>
    <row r="77" spans="1:16" s="60" customFormat="1" ht="19.5" customHeight="1">
      <c r="A77" s="96" t="s">
        <v>51</v>
      </c>
      <c r="B77" s="389"/>
      <c r="C77" s="91" t="s">
        <v>18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92">
        <f>P62+P64+P66+P68</f>
        <v>20113.867000000002</v>
      </c>
    </row>
    <row r="78" spans="1:16" ht="19.5" customHeight="1">
      <c r="A78" s="44" t="s">
        <v>0</v>
      </c>
      <c r="B78" s="382" t="s">
        <v>54</v>
      </c>
      <c r="C78" s="54" t="s">
        <v>16</v>
      </c>
      <c r="D78" s="1">
        <v>2.1369</v>
      </c>
      <c r="E78" s="5">
        <v>5.6548</v>
      </c>
      <c r="F78" s="5"/>
      <c r="G78" s="5">
        <v>1.0559</v>
      </c>
      <c r="H78" s="5">
        <v>24.9755</v>
      </c>
      <c r="I78" s="5">
        <v>62.115</v>
      </c>
      <c r="J78" s="5">
        <v>54.55838</v>
      </c>
      <c r="K78" s="5">
        <v>19.9554</v>
      </c>
      <c r="L78" s="5">
        <v>13.3822</v>
      </c>
      <c r="M78" s="5">
        <v>10.241</v>
      </c>
      <c r="N78" s="5">
        <v>14.80894</v>
      </c>
      <c r="O78" s="5">
        <v>19.7627</v>
      </c>
      <c r="P78" s="8">
        <f>SUM(D78:O78)</f>
        <v>228.64672000000002</v>
      </c>
    </row>
    <row r="79" spans="1:16" ht="19.5" customHeight="1">
      <c r="A79" s="45" t="s">
        <v>34</v>
      </c>
      <c r="B79" s="383"/>
      <c r="C79" s="48" t="s">
        <v>18</v>
      </c>
      <c r="D79" s="2">
        <v>2759.157</v>
      </c>
      <c r="E79" s="34">
        <v>6176.439</v>
      </c>
      <c r="F79" s="34"/>
      <c r="G79" s="34">
        <v>1417.903</v>
      </c>
      <c r="H79" s="34">
        <v>13927.177</v>
      </c>
      <c r="I79" s="34">
        <v>23059.917</v>
      </c>
      <c r="J79" s="34">
        <v>32187.656</v>
      </c>
      <c r="K79" s="34">
        <v>21154.227</v>
      </c>
      <c r="L79" s="34">
        <v>18555.909</v>
      </c>
      <c r="M79" s="34">
        <v>17613.433</v>
      </c>
      <c r="N79" s="34">
        <v>18904.677</v>
      </c>
      <c r="O79" s="34">
        <v>17460.496</v>
      </c>
      <c r="P79" s="9">
        <f>SUM(D79:O79)</f>
        <v>173216.99099999998</v>
      </c>
    </row>
    <row r="80" spans="1:16" ht="19.5" customHeight="1">
      <c r="A80" s="45" t="s">
        <v>0</v>
      </c>
      <c r="B80" s="382" t="s">
        <v>55</v>
      </c>
      <c r="C80" s="54" t="s">
        <v>16</v>
      </c>
      <c r="D80" s="1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8"/>
    </row>
    <row r="81" spans="1:16" ht="19.5" customHeight="1">
      <c r="A81" s="45" t="s">
        <v>0</v>
      </c>
      <c r="B81" s="383"/>
      <c r="C81" s="48" t="s">
        <v>18</v>
      </c>
      <c r="D81" s="2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9"/>
    </row>
    <row r="82" spans="1:16" ht="19.5" customHeight="1">
      <c r="A82" s="45" t="s">
        <v>56</v>
      </c>
      <c r="B82" s="47" t="s">
        <v>57</v>
      </c>
      <c r="C82" s="54" t="s">
        <v>16</v>
      </c>
      <c r="D82" s="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8"/>
    </row>
    <row r="83" spans="1:16" ht="19.5" customHeight="1">
      <c r="A83" s="45"/>
      <c r="B83" s="48" t="s">
        <v>58</v>
      </c>
      <c r="C83" s="48" t="s">
        <v>18</v>
      </c>
      <c r="D83" s="2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9"/>
    </row>
    <row r="84" spans="1:16" ht="19.5" customHeight="1">
      <c r="A84" s="45"/>
      <c r="B84" s="382" t="s">
        <v>59</v>
      </c>
      <c r="C84" s="54" t="s">
        <v>16</v>
      </c>
      <c r="D84" s="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8"/>
    </row>
    <row r="85" spans="1:16" ht="19.5" customHeight="1">
      <c r="A85" s="45" t="s">
        <v>17</v>
      </c>
      <c r="B85" s="383"/>
      <c r="C85" s="48" t="s">
        <v>18</v>
      </c>
      <c r="D85" s="2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9"/>
    </row>
    <row r="86" spans="1:16" ht="19.5" customHeight="1">
      <c r="A86" s="45"/>
      <c r="B86" s="148" t="s">
        <v>20</v>
      </c>
      <c r="C86" s="54" t="s">
        <v>16</v>
      </c>
      <c r="D86" s="1">
        <v>7.7817</v>
      </c>
      <c r="E86" s="5">
        <v>9.7727</v>
      </c>
      <c r="F86" s="5"/>
      <c r="G86" s="5">
        <v>3.7296</v>
      </c>
      <c r="H86" s="5">
        <v>18.4412</v>
      </c>
      <c r="I86" s="5">
        <v>21.6738</v>
      </c>
      <c r="J86" s="5">
        <v>24.8141</v>
      </c>
      <c r="K86" s="5">
        <v>12.9884</v>
      </c>
      <c r="L86" s="5">
        <v>9.7189</v>
      </c>
      <c r="M86" s="5">
        <v>8.1928</v>
      </c>
      <c r="N86" s="5">
        <v>12.54088</v>
      </c>
      <c r="O86" s="5">
        <v>19.5142</v>
      </c>
      <c r="P86" s="8">
        <f aca="true" t="shared" si="6" ref="P86:P93">SUM(D86:O86)</f>
        <v>149.16827999999998</v>
      </c>
    </row>
    <row r="87" spans="1:16" ht="19.5" customHeight="1">
      <c r="A87" s="45"/>
      <c r="B87" s="46" t="s">
        <v>155</v>
      </c>
      <c r="C87" s="48" t="s">
        <v>18</v>
      </c>
      <c r="D87" s="2">
        <v>2576.949</v>
      </c>
      <c r="E87" s="34">
        <v>3515.258</v>
      </c>
      <c r="F87" s="34"/>
      <c r="G87" s="34">
        <v>1831.094</v>
      </c>
      <c r="H87" s="34">
        <v>7975.795</v>
      </c>
      <c r="I87" s="34">
        <v>7147.596</v>
      </c>
      <c r="J87" s="34">
        <v>9138.259</v>
      </c>
      <c r="K87" s="34">
        <v>6420.796</v>
      </c>
      <c r="L87" s="34">
        <v>5235.185</v>
      </c>
      <c r="M87" s="34">
        <v>4491.828</v>
      </c>
      <c r="N87" s="34">
        <v>5573.889</v>
      </c>
      <c r="O87" s="34">
        <v>6371.847</v>
      </c>
      <c r="P87" s="9">
        <f t="shared" si="6"/>
        <v>60278.49600000001</v>
      </c>
    </row>
    <row r="88" spans="1:16" s="60" customFormat="1" ht="19.5" customHeight="1">
      <c r="A88" s="95" t="s">
        <v>23</v>
      </c>
      <c r="B88" s="380" t="s">
        <v>156</v>
      </c>
      <c r="C88" s="62" t="s">
        <v>16</v>
      </c>
      <c r="D88" s="5">
        <f>+D78+D80+D82+D84+D86</f>
        <v>9.9186</v>
      </c>
      <c r="E88" s="5">
        <f aca="true" t="shared" si="7" ref="E88:O89">+E78+E80+E82+E84+E86</f>
        <v>15.4275</v>
      </c>
      <c r="F88" s="5"/>
      <c r="G88" s="5">
        <f t="shared" si="7"/>
        <v>4.7855</v>
      </c>
      <c r="H88" s="5">
        <f t="shared" si="7"/>
        <v>43.4167</v>
      </c>
      <c r="I88" s="5">
        <f t="shared" si="7"/>
        <v>83.78880000000001</v>
      </c>
      <c r="J88" s="5">
        <f t="shared" si="7"/>
        <v>79.37248</v>
      </c>
      <c r="K88" s="5">
        <f t="shared" si="7"/>
        <v>32.9438</v>
      </c>
      <c r="L88" s="5">
        <f t="shared" si="7"/>
        <v>23.1011</v>
      </c>
      <c r="M88" s="5">
        <f t="shared" si="7"/>
        <v>18.433799999999998</v>
      </c>
      <c r="N88" s="5">
        <f t="shared" si="7"/>
        <v>27.34982</v>
      </c>
      <c r="O88" s="5">
        <f t="shared" si="7"/>
        <v>39.2769</v>
      </c>
      <c r="P88" s="15">
        <f t="shared" si="6"/>
        <v>377.81500000000005</v>
      </c>
    </row>
    <row r="89" spans="1:16" s="60" customFormat="1" ht="19.5" customHeight="1">
      <c r="A89" s="90"/>
      <c r="B89" s="381"/>
      <c r="C89" s="91" t="s">
        <v>18</v>
      </c>
      <c r="D89" s="34">
        <f>+D79+D81+D83+D85+D87</f>
        <v>5336.106</v>
      </c>
      <c r="E89" s="34">
        <f t="shared" si="7"/>
        <v>9691.697</v>
      </c>
      <c r="F89" s="34"/>
      <c r="G89" s="34">
        <f t="shared" si="7"/>
        <v>3248.9970000000003</v>
      </c>
      <c r="H89" s="34">
        <f t="shared" si="7"/>
        <v>21902.972</v>
      </c>
      <c r="I89" s="34">
        <f t="shared" si="7"/>
        <v>30207.513</v>
      </c>
      <c r="J89" s="34">
        <f t="shared" si="7"/>
        <v>41325.915</v>
      </c>
      <c r="K89" s="34">
        <f t="shared" si="7"/>
        <v>27575.023</v>
      </c>
      <c r="L89" s="34">
        <f t="shared" si="7"/>
        <v>23791.094</v>
      </c>
      <c r="M89" s="34">
        <f t="shared" si="7"/>
        <v>22105.261000000002</v>
      </c>
      <c r="N89" s="34">
        <f t="shared" si="7"/>
        <v>24478.566</v>
      </c>
      <c r="O89" s="34">
        <f t="shared" si="7"/>
        <v>23832.343</v>
      </c>
      <c r="P89" s="92">
        <f t="shared" si="6"/>
        <v>233495.487</v>
      </c>
    </row>
    <row r="90" spans="1:16" ht="19.5" customHeight="1">
      <c r="A90" s="376" t="s">
        <v>118</v>
      </c>
      <c r="B90" s="377"/>
      <c r="C90" s="54" t="s">
        <v>16</v>
      </c>
      <c r="D90" s="1">
        <v>0.0129</v>
      </c>
      <c r="E90" s="5">
        <v>0.004</v>
      </c>
      <c r="F90" s="5"/>
      <c r="G90" s="5"/>
      <c r="H90" s="5">
        <v>0.1245</v>
      </c>
      <c r="I90" s="5">
        <v>0.3414</v>
      </c>
      <c r="J90" s="5">
        <v>0.4349</v>
      </c>
      <c r="K90" s="5">
        <v>0.2891</v>
      </c>
      <c r="L90" s="5">
        <v>0.1095</v>
      </c>
      <c r="M90" s="5">
        <v>0.1173</v>
      </c>
      <c r="N90" s="5">
        <v>0.0909</v>
      </c>
      <c r="O90" s="5">
        <v>0.2629</v>
      </c>
      <c r="P90" s="8">
        <f t="shared" si="6"/>
        <v>1.7873999999999999</v>
      </c>
    </row>
    <row r="91" spans="1:16" ht="19.5" customHeight="1">
      <c r="A91" s="378"/>
      <c r="B91" s="379"/>
      <c r="C91" s="48" t="s">
        <v>18</v>
      </c>
      <c r="D91" s="2">
        <v>12.873</v>
      </c>
      <c r="E91" s="34">
        <v>4.41</v>
      </c>
      <c r="F91" s="34"/>
      <c r="G91" s="34"/>
      <c r="H91" s="34">
        <v>166.839</v>
      </c>
      <c r="I91" s="34">
        <v>370.202</v>
      </c>
      <c r="J91" s="34">
        <v>385.889</v>
      </c>
      <c r="K91" s="34">
        <v>318.924</v>
      </c>
      <c r="L91" s="34">
        <v>114.252</v>
      </c>
      <c r="M91" s="34">
        <v>126.857</v>
      </c>
      <c r="N91" s="34">
        <v>74.846</v>
      </c>
      <c r="O91" s="34">
        <v>262.969</v>
      </c>
      <c r="P91" s="9">
        <f t="shared" si="6"/>
        <v>1838.0610000000001</v>
      </c>
    </row>
    <row r="92" spans="1:16" ht="19.5" customHeight="1">
      <c r="A92" s="376" t="s">
        <v>61</v>
      </c>
      <c r="B92" s="377"/>
      <c r="C92" s="54" t="s">
        <v>16</v>
      </c>
      <c r="D92" s="1"/>
      <c r="E92" s="5"/>
      <c r="F92" s="5"/>
      <c r="G92" s="5">
        <v>17.459</v>
      </c>
      <c r="H92" s="5">
        <v>2.443</v>
      </c>
      <c r="I92" s="5"/>
      <c r="J92" s="5"/>
      <c r="K92" s="5"/>
      <c r="L92" s="5"/>
      <c r="M92" s="5"/>
      <c r="N92" s="5"/>
      <c r="O92" s="5"/>
      <c r="P92" s="8">
        <f t="shared" si="6"/>
        <v>19.902</v>
      </c>
    </row>
    <row r="93" spans="1:16" ht="19.5" customHeight="1">
      <c r="A93" s="378"/>
      <c r="B93" s="379"/>
      <c r="C93" s="48" t="s">
        <v>18</v>
      </c>
      <c r="D93" s="2"/>
      <c r="E93" s="34"/>
      <c r="F93" s="34"/>
      <c r="G93" s="34">
        <v>3963.395</v>
      </c>
      <c r="H93" s="34">
        <v>421.751</v>
      </c>
      <c r="I93" s="34"/>
      <c r="J93" s="34"/>
      <c r="K93" s="34"/>
      <c r="L93" s="34"/>
      <c r="M93" s="34"/>
      <c r="N93" s="34"/>
      <c r="O93" s="34"/>
      <c r="P93" s="9">
        <f t="shared" si="6"/>
        <v>4385.146</v>
      </c>
    </row>
    <row r="94" spans="1:16" ht="19.5" customHeight="1">
      <c r="A94" s="376" t="s">
        <v>119</v>
      </c>
      <c r="B94" s="377"/>
      <c r="C94" s="54" t="s">
        <v>16</v>
      </c>
      <c r="D94" s="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8"/>
    </row>
    <row r="95" spans="1:16" ht="19.5" customHeight="1">
      <c r="A95" s="378"/>
      <c r="B95" s="379"/>
      <c r="C95" s="48" t="s">
        <v>18</v>
      </c>
      <c r="D95" s="2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9"/>
    </row>
    <row r="96" spans="1:16" ht="19.5" customHeight="1">
      <c r="A96" s="376" t="s">
        <v>120</v>
      </c>
      <c r="B96" s="377"/>
      <c r="C96" s="54" t="s">
        <v>16</v>
      </c>
      <c r="D96" s="1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8"/>
    </row>
    <row r="97" spans="1:16" ht="19.5" customHeight="1">
      <c r="A97" s="378"/>
      <c r="B97" s="379"/>
      <c r="C97" s="48" t="s">
        <v>18</v>
      </c>
      <c r="D97" s="2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9"/>
    </row>
    <row r="98" spans="1:16" ht="19.5" customHeight="1">
      <c r="A98" s="376" t="s">
        <v>63</v>
      </c>
      <c r="B98" s="377"/>
      <c r="C98" s="54" t="s">
        <v>16</v>
      </c>
      <c r="D98" s="1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8"/>
    </row>
    <row r="99" spans="1:16" ht="19.5" customHeight="1">
      <c r="A99" s="378"/>
      <c r="B99" s="379"/>
      <c r="C99" s="48" t="s">
        <v>18</v>
      </c>
      <c r="D99" s="2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9"/>
    </row>
    <row r="100" spans="1:16" ht="19.5" customHeight="1">
      <c r="A100" s="376" t="s">
        <v>121</v>
      </c>
      <c r="B100" s="377"/>
      <c r="C100" s="54" t="s">
        <v>16</v>
      </c>
      <c r="D100" s="1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8"/>
    </row>
    <row r="101" spans="1:16" ht="19.5" customHeight="1">
      <c r="A101" s="378"/>
      <c r="B101" s="379"/>
      <c r="C101" s="48" t="s">
        <v>18</v>
      </c>
      <c r="D101" s="2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9"/>
    </row>
    <row r="102" spans="1:16" ht="19.5" customHeight="1">
      <c r="A102" s="376" t="s">
        <v>64</v>
      </c>
      <c r="B102" s="377"/>
      <c r="C102" s="54" t="s">
        <v>16</v>
      </c>
      <c r="D102" s="1">
        <v>10.0601</v>
      </c>
      <c r="E102" s="5">
        <v>9.9949</v>
      </c>
      <c r="F102" s="5">
        <v>2.3206</v>
      </c>
      <c r="G102" s="5">
        <v>9.7973</v>
      </c>
      <c r="H102" s="5">
        <v>38.5371</v>
      </c>
      <c r="I102" s="5">
        <v>74.0536</v>
      </c>
      <c r="J102" s="5">
        <v>42.9451</v>
      </c>
      <c r="K102" s="5">
        <v>34.51</v>
      </c>
      <c r="L102" s="5">
        <v>22.4977</v>
      </c>
      <c r="M102" s="5">
        <v>10.0187</v>
      </c>
      <c r="N102" s="5">
        <v>14.4745</v>
      </c>
      <c r="O102" s="5">
        <v>13.6817</v>
      </c>
      <c r="P102" s="8">
        <f>SUM(D102:O102)</f>
        <v>282.89129999999994</v>
      </c>
    </row>
    <row r="103" spans="1:16" ht="19.5" customHeight="1">
      <c r="A103" s="378"/>
      <c r="B103" s="379"/>
      <c r="C103" s="48" t="s">
        <v>18</v>
      </c>
      <c r="D103" s="2">
        <v>6504.416</v>
      </c>
      <c r="E103" s="34">
        <v>9792.286</v>
      </c>
      <c r="F103" s="34">
        <v>4017.752</v>
      </c>
      <c r="G103" s="34">
        <v>7660.809</v>
      </c>
      <c r="H103" s="34">
        <v>15979.883</v>
      </c>
      <c r="I103" s="34">
        <v>21473.651</v>
      </c>
      <c r="J103" s="34">
        <v>15333.016</v>
      </c>
      <c r="K103" s="34">
        <v>17205.637</v>
      </c>
      <c r="L103" s="34">
        <v>11769.83</v>
      </c>
      <c r="M103" s="34">
        <v>6467.258</v>
      </c>
      <c r="N103" s="34">
        <v>9861.19</v>
      </c>
      <c r="O103" s="34">
        <v>8044.343</v>
      </c>
      <c r="P103" s="9">
        <f>SUM(D103:O103)</f>
        <v>134110.07100000003</v>
      </c>
    </row>
    <row r="104" spans="1:16" s="60" customFormat="1" ht="19.5" customHeight="1">
      <c r="A104" s="384" t="s">
        <v>65</v>
      </c>
      <c r="B104" s="385"/>
      <c r="C104" s="62" t="s">
        <v>16</v>
      </c>
      <c r="D104" s="5">
        <f aca="true" t="shared" si="8" ref="D104:O104">+D9+D11+D23+D29+D37+D39+D41+D43+D45+D47+D49+D51+D53+D59+D76+D88+D90+D92+D94+D96+D98+D100+D102</f>
        <v>26.9949</v>
      </c>
      <c r="E104" s="5">
        <f t="shared" si="8"/>
        <v>30.1909</v>
      </c>
      <c r="F104" s="5">
        <f t="shared" si="8"/>
        <v>2.4854000000000003</v>
      </c>
      <c r="G104" s="5">
        <f t="shared" si="8"/>
        <v>34.1898</v>
      </c>
      <c r="H104" s="5">
        <f t="shared" si="8"/>
        <v>89.3911</v>
      </c>
      <c r="I104" s="5">
        <f t="shared" si="8"/>
        <v>165.66570000000002</v>
      </c>
      <c r="J104" s="5">
        <f t="shared" si="8"/>
        <v>123.47577999999999</v>
      </c>
      <c r="K104" s="5">
        <f t="shared" si="8"/>
        <v>68.16579999999999</v>
      </c>
      <c r="L104" s="5">
        <f t="shared" si="8"/>
        <v>48.93129999999999</v>
      </c>
      <c r="M104" s="5">
        <f t="shared" si="8"/>
        <v>138.80949999999999</v>
      </c>
      <c r="N104" s="5">
        <f t="shared" si="8"/>
        <v>152.17372000000003</v>
      </c>
      <c r="O104" s="5">
        <f t="shared" si="8"/>
        <v>61.0288</v>
      </c>
      <c r="P104" s="15">
        <f>SUM(D104:O104)</f>
        <v>941.5026999999999</v>
      </c>
    </row>
    <row r="105" spans="1:16" s="60" customFormat="1" ht="19.5" customHeight="1">
      <c r="A105" s="386"/>
      <c r="B105" s="387"/>
      <c r="C105" s="91" t="s">
        <v>18</v>
      </c>
      <c r="D105" s="34">
        <f aca="true" t="shared" si="9" ref="D105:O105">+D10+D12+D24+D30+D38+D40+D42+D44+D46+D48+D50+D52+D54+D60+D77+D89+D91+D93+D95+D97+D99+D101+D103</f>
        <v>12582.420999999998</v>
      </c>
      <c r="E105" s="34">
        <f t="shared" si="9"/>
        <v>19923.931</v>
      </c>
      <c r="F105" s="34">
        <f t="shared" si="9"/>
        <v>4031.534</v>
      </c>
      <c r="G105" s="34">
        <f t="shared" si="9"/>
        <v>15150.454000000002</v>
      </c>
      <c r="H105" s="34">
        <f t="shared" si="9"/>
        <v>39630.93</v>
      </c>
      <c r="I105" s="34">
        <f t="shared" si="9"/>
        <v>53558.468</v>
      </c>
      <c r="J105" s="34">
        <f t="shared" si="9"/>
        <v>57347.72</v>
      </c>
      <c r="K105" s="34">
        <f t="shared" si="9"/>
        <v>45365.732</v>
      </c>
      <c r="L105" s="34">
        <f t="shared" si="9"/>
        <v>35857.018000000004</v>
      </c>
      <c r="M105" s="34">
        <f t="shared" si="9"/>
        <v>73681.61600000001</v>
      </c>
      <c r="N105" s="34">
        <f t="shared" si="9"/>
        <v>82579.724</v>
      </c>
      <c r="O105" s="34">
        <f t="shared" si="9"/>
        <v>35158.138</v>
      </c>
      <c r="P105" s="92">
        <f>SUM(D105:O105)</f>
        <v>474867.686</v>
      </c>
    </row>
    <row r="106" spans="1:16" ht="19.5" customHeight="1">
      <c r="A106" s="44" t="s">
        <v>0</v>
      </c>
      <c r="B106" s="382" t="s">
        <v>134</v>
      </c>
      <c r="C106" s="54" t="s">
        <v>16</v>
      </c>
      <c r="D106" s="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8"/>
    </row>
    <row r="107" spans="1:16" ht="19.5" customHeight="1">
      <c r="A107" s="44" t="s">
        <v>0</v>
      </c>
      <c r="B107" s="383"/>
      <c r="C107" s="48" t="s">
        <v>18</v>
      </c>
      <c r="D107" s="2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9"/>
    </row>
    <row r="108" spans="1:16" ht="19.5" customHeight="1">
      <c r="A108" s="45" t="s">
        <v>66</v>
      </c>
      <c r="B108" s="382" t="s">
        <v>123</v>
      </c>
      <c r="C108" s="54" t="s">
        <v>16</v>
      </c>
      <c r="D108" s="1">
        <v>0.0646</v>
      </c>
      <c r="E108" s="5">
        <v>0.2684</v>
      </c>
      <c r="F108" s="5"/>
      <c r="G108" s="5"/>
      <c r="H108" s="5">
        <v>0.3882</v>
      </c>
      <c r="I108" s="5">
        <v>0.2422</v>
      </c>
      <c r="J108" s="5">
        <v>0.0232</v>
      </c>
      <c r="K108" s="5">
        <v>0.0116</v>
      </c>
      <c r="L108" s="5">
        <v>0.003</v>
      </c>
      <c r="M108" s="5"/>
      <c r="N108" s="5">
        <v>0.0018</v>
      </c>
      <c r="O108" s="5">
        <v>0.0866</v>
      </c>
      <c r="P108" s="8">
        <f aca="true" t="shared" si="10" ref="P108:P115">SUM(D108:O108)</f>
        <v>1.0896</v>
      </c>
    </row>
    <row r="109" spans="1:16" ht="19.5" customHeight="1">
      <c r="A109" s="45" t="s">
        <v>0</v>
      </c>
      <c r="B109" s="383"/>
      <c r="C109" s="48" t="s">
        <v>18</v>
      </c>
      <c r="D109" s="2">
        <v>23.143</v>
      </c>
      <c r="E109" s="34">
        <v>115.328</v>
      </c>
      <c r="F109" s="34"/>
      <c r="G109" s="34"/>
      <c r="H109" s="34">
        <v>115.699</v>
      </c>
      <c r="I109" s="34">
        <v>87.229</v>
      </c>
      <c r="J109" s="34">
        <v>10.719</v>
      </c>
      <c r="K109" s="34">
        <v>4.158</v>
      </c>
      <c r="L109" s="34">
        <v>0.616</v>
      </c>
      <c r="M109" s="34"/>
      <c r="N109" s="34">
        <v>0.853</v>
      </c>
      <c r="O109" s="34">
        <v>44.226</v>
      </c>
      <c r="P109" s="9">
        <f t="shared" si="10"/>
        <v>401.971</v>
      </c>
    </row>
    <row r="110" spans="1:16" ht="19.5" customHeight="1">
      <c r="A110" s="45" t="s">
        <v>0</v>
      </c>
      <c r="B110" s="382" t="s">
        <v>157</v>
      </c>
      <c r="C110" s="54" t="s">
        <v>16</v>
      </c>
      <c r="D110" s="1">
        <v>0.217</v>
      </c>
      <c r="E110" s="5">
        <v>0.016</v>
      </c>
      <c r="F110" s="5"/>
      <c r="G110" s="5"/>
      <c r="H110" s="5">
        <v>0.0893</v>
      </c>
      <c r="I110" s="5">
        <v>0.1717</v>
      </c>
      <c r="J110" s="5">
        <v>0.0413</v>
      </c>
      <c r="K110" s="5">
        <v>0.0718</v>
      </c>
      <c r="L110" s="5">
        <v>0.004</v>
      </c>
      <c r="M110" s="5"/>
      <c r="N110" s="5">
        <v>0.0042</v>
      </c>
      <c r="O110" s="5"/>
      <c r="P110" s="8">
        <f t="shared" si="10"/>
        <v>0.6153</v>
      </c>
    </row>
    <row r="111" spans="1:16" ht="19.5" customHeight="1">
      <c r="A111" s="45"/>
      <c r="B111" s="383"/>
      <c r="C111" s="48" t="s">
        <v>18</v>
      </c>
      <c r="D111" s="2">
        <v>37.687</v>
      </c>
      <c r="E111" s="34">
        <v>2.52</v>
      </c>
      <c r="F111" s="34"/>
      <c r="G111" s="34"/>
      <c r="H111" s="34">
        <v>23.995</v>
      </c>
      <c r="I111" s="34">
        <v>51.962</v>
      </c>
      <c r="J111" s="34">
        <v>11.086</v>
      </c>
      <c r="K111" s="34">
        <v>14.493</v>
      </c>
      <c r="L111" s="34">
        <v>0.864</v>
      </c>
      <c r="M111" s="34"/>
      <c r="N111" s="34">
        <v>0.907</v>
      </c>
      <c r="O111" s="34"/>
      <c r="P111" s="9">
        <f t="shared" si="10"/>
        <v>143.514</v>
      </c>
    </row>
    <row r="112" spans="1:16" ht="19.5" customHeight="1">
      <c r="A112" s="45" t="s">
        <v>67</v>
      </c>
      <c r="B112" s="382" t="s">
        <v>158</v>
      </c>
      <c r="C112" s="54" t="s">
        <v>16</v>
      </c>
      <c r="D112" s="1"/>
      <c r="E112" s="5"/>
      <c r="F112" s="5"/>
      <c r="G112" s="5"/>
      <c r="H112" s="5"/>
      <c r="I112" s="5"/>
      <c r="J112" s="5"/>
      <c r="K112" s="5">
        <v>0.0015</v>
      </c>
      <c r="L112" s="5">
        <v>0.0111</v>
      </c>
      <c r="M112" s="5">
        <v>0.0006</v>
      </c>
      <c r="N112" s="5"/>
      <c r="O112" s="5"/>
      <c r="P112" s="8">
        <f t="shared" si="10"/>
        <v>0.0132</v>
      </c>
    </row>
    <row r="113" spans="1:16" ht="19.5" customHeight="1">
      <c r="A113" s="45"/>
      <c r="B113" s="383"/>
      <c r="C113" s="48" t="s">
        <v>18</v>
      </c>
      <c r="D113" s="2"/>
      <c r="E113" s="34"/>
      <c r="F113" s="34"/>
      <c r="G113" s="34"/>
      <c r="H113" s="34"/>
      <c r="I113" s="34"/>
      <c r="J113" s="34"/>
      <c r="K113" s="34">
        <v>1.296</v>
      </c>
      <c r="L113" s="34">
        <v>4.202</v>
      </c>
      <c r="M113" s="34">
        <v>0.324</v>
      </c>
      <c r="N113" s="34"/>
      <c r="O113" s="34"/>
      <c r="P113" s="9">
        <f t="shared" si="10"/>
        <v>5.822</v>
      </c>
    </row>
    <row r="114" spans="1:16" ht="19.5" customHeight="1">
      <c r="A114" s="45"/>
      <c r="B114" s="382" t="s">
        <v>150</v>
      </c>
      <c r="C114" s="54" t="s">
        <v>16</v>
      </c>
      <c r="D114" s="1">
        <v>0.1243</v>
      </c>
      <c r="E114" s="5">
        <v>0.0311</v>
      </c>
      <c r="F114" s="5"/>
      <c r="G114" s="5">
        <v>0.2853</v>
      </c>
      <c r="H114" s="5">
        <v>1.4302</v>
      </c>
      <c r="I114" s="5">
        <v>0.9632</v>
      </c>
      <c r="J114" s="5">
        <v>0.9515</v>
      </c>
      <c r="K114" s="5">
        <v>0.4577</v>
      </c>
      <c r="L114" s="5">
        <v>2.34817</v>
      </c>
      <c r="M114" s="5">
        <v>4.1927</v>
      </c>
      <c r="N114" s="5">
        <v>5.7819</v>
      </c>
      <c r="O114" s="5">
        <v>1.4413</v>
      </c>
      <c r="P114" s="8">
        <f t="shared" si="10"/>
        <v>18.00737</v>
      </c>
    </row>
    <row r="115" spans="1:16" ht="19.5" customHeight="1">
      <c r="A115" s="45"/>
      <c r="B115" s="383"/>
      <c r="C115" s="48" t="s">
        <v>18</v>
      </c>
      <c r="D115" s="2">
        <v>38.492</v>
      </c>
      <c r="E115" s="34">
        <v>8.817</v>
      </c>
      <c r="F115" s="34"/>
      <c r="G115" s="34">
        <v>233.066</v>
      </c>
      <c r="H115" s="34">
        <v>1257.999</v>
      </c>
      <c r="I115" s="34">
        <v>468.218</v>
      </c>
      <c r="J115" s="34">
        <v>224.654</v>
      </c>
      <c r="K115" s="34">
        <v>89.161</v>
      </c>
      <c r="L115" s="34">
        <v>613.609</v>
      </c>
      <c r="M115" s="34">
        <v>1749.487</v>
      </c>
      <c r="N115" s="34">
        <v>3916.391</v>
      </c>
      <c r="O115" s="34">
        <v>896.49</v>
      </c>
      <c r="P115" s="9">
        <f t="shared" si="10"/>
        <v>9496.384</v>
      </c>
    </row>
    <row r="116" spans="1:16" ht="19.5" customHeight="1">
      <c r="A116" s="45" t="s">
        <v>68</v>
      </c>
      <c r="B116" s="382" t="s">
        <v>159</v>
      </c>
      <c r="C116" s="54" t="s">
        <v>16</v>
      </c>
      <c r="D116" s="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8"/>
    </row>
    <row r="117" spans="1:16" ht="19.5" customHeight="1">
      <c r="A117" s="45"/>
      <c r="B117" s="383"/>
      <c r="C117" s="48" t="s">
        <v>18</v>
      </c>
      <c r="D117" s="2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9"/>
    </row>
    <row r="118" spans="1:16" ht="19.5" customHeight="1">
      <c r="A118" s="45"/>
      <c r="B118" s="382" t="s">
        <v>160</v>
      </c>
      <c r="C118" s="54" t="s">
        <v>16</v>
      </c>
      <c r="D118" s="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8"/>
    </row>
    <row r="119" spans="1:16" ht="19.5" customHeight="1">
      <c r="A119" s="45"/>
      <c r="B119" s="383"/>
      <c r="C119" s="48" t="s">
        <v>18</v>
      </c>
      <c r="D119" s="2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9"/>
    </row>
    <row r="120" spans="1:16" ht="19.5" customHeight="1">
      <c r="A120" s="45" t="s">
        <v>70</v>
      </c>
      <c r="B120" s="382" t="s">
        <v>137</v>
      </c>
      <c r="C120" s="54" t="s">
        <v>16</v>
      </c>
      <c r="D120" s="1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8"/>
    </row>
    <row r="121" spans="1:16" ht="19.5" customHeight="1">
      <c r="A121" s="45"/>
      <c r="B121" s="383"/>
      <c r="C121" s="48" t="s">
        <v>18</v>
      </c>
      <c r="D121" s="2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9"/>
    </row>
    <row r="122" spans="1:16" ht="19.5" customHeight="1">
      <c r="A122" s="45"/>
      <c r="B122" s="382" t="s">
        <v>72</v>
      </c>
      <c r="C122" s="54" t="s">
        <v>16</v>
      </c>
      <c r="D122" s="1">
        <v>3.421</v>
      </c>
      <c r="E122" s="5">
        <v>2.8886</v>
      </c>
      <c r="F122" s="5">
        <v>6.2539</v>
      </c>
      <c r="G122" s="5">
        <v>6.427</v>
      </c>
      <c r="H122" s="5">
        <v>0.0676</v>
      </c>
      <c r="I122" s="5"/>
      <c r="J122" s="5"/>
      <c r="K122" s="5"/>
      <c r="L122" s="5">
        <v>1.8542</v>
      </c>
      <c r="M122" s="5">
        <v>1.5008</v>
      </c>
      <c r="N122" s="5">
        <v>1.7112</v>
      </c>
      <c r="O122" s="5">
        <v>3.2149</v>
      </c>
      <c r="P122" s="8">
        <f aca="true" t="shared" si="11" ref="P122:P129">SUM(D122:O122)</f>
        <v>27.339199999999995</v>
      </c>
    </row>
    <row r="123" spans="1:16" ht="19.5" customHeight="1">
      <c r="A123" s="45"/>
      <c r="B123" s="383"/>
      <c r="C123" s="48" t="s">
        <v>18</v>
      </c>
      <c r="D123" s="2">
        <v>2673.55</v>
      </c>
      <c r="E123" s="34">
        <v>2484.381</v>
      </c>
      <c r="F123" s="34">
        <v>2337.489</v>
      </c>
      <c r="G123" s="34">
        <v>2393.238</v>
      </c>
      <c r="H123" s="34">
        <v>265.992</v>
      </c>
      <c r="I123" s="34"/>
      <c r="J123" s="34"/>
      <c r="K123" s="34"/>
      <c r="L123" s="34">
        <v>2875.914</v>
      </c>
      <c r="M123" s="34">
        <v>2484.751</v>
      </c>
      <c r="N123" s="34">
        <v>2798.833</v>
      </c>
      <c r="O123" s="34">
        <v>4824.23</v>
      </c>
      <c r="P123" s="9">
        <f t="shared" si="11"/>
        <v>23138.378</v>
      </c>
    </row>
    <row r="124" spans="1:16" ht="19.5" customHeight="1">
      <c r="A124" s="45" t="s">
        <v>23</v>
      </c>
      <c r="B124" s="382" t="s">
        <v>130</v>
      </c>
      <c r="C124" s="54" t="s">
        <v>16</v>
      </c>
      <c r="D124" s="1">
        <v>0.0349</v>
      </c>
      <c r="E124" s="5">
        <v>0.0155</v>
      </c>
      <c r="F124" s="5"/>
      <c r="G124" s="5"/>
      <c r="H124" s="5">
        <v>0.0071</v>
      </c>
      <c r="I124" s="5"/>
      <c r="J124" s="5"/>
      <c r="K124" s="5"/>
      <c r="L124" s="5">
        <v>0.0258</v>
      </c>
      <c r="M124" s="5">
        <v>0.0255</v>
      </c>
      <c r="N124" s="5">
        <v>0.0139</v>
      </c>
      <c r="O124" s="5">
        <v>0.116</v>
      </c>
      <c r="P124" s="8">
        <f t="shared" si="11"/>
        <v>0.2387</v>
      </c>
    </row>
    <row r="125" spans="1:16" ht="19.5" customHeight="1">
      <c r="A125" s="50"/>
      <c r="B125" s="383"/>
      <c r="C125" s="48" t="s">
        <v>18</v>
      </c>
      <c r="D125" s="2">
        <v>8.433</v>
      </c>
      <c r="E125" s="34">
        <v>2.93</v>
      </c>
      <c r="F125" s="34"/>
      <c r="G125" s="34"/>
      <c r="H125" s="34">
        <v>2.117</v>
      </c>
      <c r="I125" s="34"/>
      <c r="J125" s="34"/>
      <c r="K125" s="34"/>
      <c r="L125" s="34">
        <v>8.629</v>
      </c>
      <c r="M125" s="34">
        <v>15.152</v>
      </c>
      <c r="N125" s="34">
        <v>8.338</v>
      </c>
      <c r="O125" s="34">
        <v>62.899</v>
      </c>
      <c r="P125" s="9">
        <f t="shared" si="11"/>
        <v>108.498</v>
      </c>
    </row>
    <row r="126" spans="1:16" ht="19.5" customHeight="1">
      <c r="A126" s="50"/>
      <c r="B126" s="47" t="s">
        <v>20</v>
      </c>
      <c r="C126" s="54" t="s">
        <v>16</v>
      </c>
      <c r="D126" s="1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8"/>
    </row>
    <row r="127" spans="1:16" ht="19.5" customHeight="1">
      <c r="A127" s="50"/>
      <c r="B127" s="48" t="s">
        <v>73</v>
      </c>
      <c r="C127" s="48" t="s">
        <v>18</v>
      </c>
      <c r="D127" s="2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9"/>
    </row>
    <row r="128" spans="1:16" s="60" customFormat="1" ht="19.5" customHeight="1">
      <c r="A128" s="57"/>
      <c r="B128" s="380" t="s">
        <v>114</v>
      </c>
      <c r="C128" s="62" t="s">
        <v>16</v>
      </c>
      <c r="D128" s="5">
        <f>+D106+D108+D110+D112+D114+D116+D118+D120+D122+D124+D126</f>
        <v>3.8617999999999997</v>
      </c>
      <c r="E128" s="5">
        <f aca="true" t="shared" si="12" ref="E128:O129">+E106+E108+E110+E112+E114+E116+E118+E120+E122+E124+E126</f>
        <v>3.2196</v>
      </c>
      <c r="F128" s="5">
        <f t="shared" si="12"/>
        <v>6.2539</v>
      </c>
      <c r="G128" s="5">
        <f t="shared" si="12"/>
        <v>6.7123</v>
      </c>
      <c r="H128" s="5">
        <f t="shared" si="12"/>
        <v>1.9824</v>
      </c>
      <c r="I128" s="5">
        <f t="shared" si="12"/>
        <v>1.3771</v>
      </c>
      <c r="J128" s="5">
        <f t="shared" si="12"/>
        <v>1.016</v>
      </c>
      <c r="K128" s="5">
        <f t="shared" si="12"/>
        <v>0.5426</v>
      </c>
      <c r="L128" s="5">
        <f t="shared" si="12"/>
        <v>4.246270000000001</v>
      </c>
      <c r="M128" s="5">
        <f t="shared" si="12"/>
        <v>5.719600000000001</v>
      </c>
      <c r="N128" s="5">
        <f t="shared" si="12"/>
        <v>7.513</v>
      </c>
      <c r="O128" s="5">
        <f t="shared" si="12"/>
        <v>4.8588</v>
      </c>
      <c r="P128" s="15">
        <f t="shared" si="11"/>
        <v>47.30337</v>
      </c>
    </row>
    <row r="129" spans="1:16" s="60" customFormat="1" ht="19.5" customHeight="1">
      <c r="A129" s="90"/>
      <c r="B129" s="381"/>
      <c r="C129" s="91" t="s">
        <v>18</v>
      </c>
      <c r="D129" s="34">
        <f>+D107+D109+D111+D113+D115+D117+D119+D121+D123+D125+D127</f>
        <v>2781.3050000000003</v>
      </c>
      <c r="E129" s="34">
        <f t="shared" si="12"/>
        <v>2613.9759999999997</v>
      </c>
      <c r="F129" s="34">
        <f t="shared" si="12"/>
        <v>2337.489</v>
      </c>
      <c r="G129" s="34">
        <f t="shared" si="12"/>
        <v>2626.3039999999996</v>
      </c>
      <c r="H129" s="34">
        <f t="shared" si="12"/>
        <v>1665.802</v>
      </c>
      <c r="I129" s="34">
        <f t="shared" si="12"/>
        <v>607.409</v>
      </c>
      <c r="J129" s="34">
        <f t="shared" si="12"/>
        <v>246.459</v>
      </c>
      <c r="K129" s="34">
        <f t="shared" si="12"/>
        <v>109.108</v>
      </c>
      <c r="L129" s="34">
        <f t="shared" si="12"/>
        <v>3503.8340000000003</v>
      </c>
      <c r="M129" s="34">
        <f t="shared" si="12"/>
        <v>4249.714</v>
      </c>
      <c r="N129" s="34">
        <f t="shared" si="12"/>
        <v>6725.322</v>
      </c>
      <c r="O129" s="34">
        <f t="shared" si="12"/>
        <v>5827.845</v>
      </c>
      <c r="P129" s="92">
        <f t="shared" si="11"/>
        <v>33294.567</v>
      </c>
    </row>
    <row r="130" spans="1:16" ht="19.5" customHeight="1">
      <c r="A130" s="44" t="s">
        <v>0</v>
      </c>
      <c r="B130" s="382" t="s">
        <v>74</v>
      </c>
      <c r="C130" s="54" t="s">
        <v>16</v>
      </c>
      <c r="D130" s="1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8"/>
    </row>
    <row r="131" spans="1:16" ht="19.5" customHeight="1">
      <c r="A131" s="44" t="s">
        <v>0</v>
      </c>
      <c r="B131" s="383"/>
      <c r="C131" s="48" t="s">
        <v>18</v>
      </c>
      <c r="D131" s="2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9"/>
    </row>
    <row r="132" spans="1:16" ht="19.5" customHeight="1">
      <c r="A132" s="45" t="s">
        <v>75</v>
      </c>
      <c r="B132" s="382" t="s">
        <v>76</v>
      </c>
      <c r="C132" s="54" t="s">
        <v>16</v>
      </c>
      <c r="D132" s="1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8"/>
    </row>
    <row r="133" spans="1:16" ht="19.5" customHeight="1">
      <c r="A133" s="45"/>
      <c r="B133" s="383"/>
      <c r="C133" s="48" t="s">
        <v>18</v>
      </c>
      <c r="D133" s="2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9"/>
    </row>
    <row r="134" spans="1:16" ht="19.5" customHeight="1">
      <c r="A134" s="45" t="s">
        <v>77</v>
      </c>
      <c r="B134" s="47" t="s">
        <v>20</v>
      </c>
      <c r="C134" s="140" t="s">
        <v>16</v>
      </c>
      <c r="D134" s="201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4"/>
    </row>
    <row r="135" spans="1:16" ht="19.5" customHeight="1">
      <c r="A135" s="45"/>
      <c r="B135" s="47" t="s">
        <v>78</v>
      </c>
      <c r="C135" s="54" t="s">
        <v>79</v>
      </c>
      <c r="D135" s="21"/>
      <c r="E135" s="84"/>
      <c r="F135" s="84"/>
      <c r="G135" s="84"/>
      <c r="H135" s="84"/>
      <c r="I135" s="84"/>
      <c r="J135" s="5"/>
      <c r="K135" s="5"/>
      <c r="L135" s="5"/>
      <c r="M135" s="5"/>
      <c r="N135" s="84"/>
      <c r="O135" s="84"/>
      <c r="P135" s="8"/>
    </row>
    <row r="136" spans="1:16" ht="19.5" customHeight="1">
      <c r="A136" s="45" t="s">
        <v>23</v>
      </c>
      <c r="B136" s="2"/>
      <c r="C136" s="48" t="s">
        <v>18</v>
      </c>
      <c r="D136" s="2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9"/>
    </row>
    <row r="137" spans="1:16" s="60" customFormat="1" ht="19.5" customHeight="1">
      <c r="A137" s="57"/>
      <c r="B137" s="93" t="s">
        <v>0</v>
      </c>
      <c r="C137" s="198" t="s">
        <v>16</v>
      </c>
      <c r="D137" s="205"/>
      <c r="E137" s="199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0"/>
    </row>
    <row r="138" spans="1:16" s="60" customFormat="1" ht="19.5" customHeight="1">
      <c r="A138" s="57"/>
      <c r="B138" s="94" t="s">
        <v>138</v>
      </c>
      <c r="C138" s="62" t="s">
        <v>79</v>
      </c>
      <c r="D138" s="30"/>
      <c r="E138" s="5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15"/>
    </row>
    <row r="139" spans="1:16" s="60" customFormat="1" ht="19.5" customHeight="1">
      <c r="A139" s="90"/>
      <c r="B139" s="34"/>
      <c r="C139" s="91" t="s">
        <v>18</v>
      </c>
      <c r="D139" s="88"/>
      <c r="E139" s="34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92"/>
    </row>
    <row r="140" spans="1:16" s="60" customFormat="1" ht="19.5" customHeight="1">
      <c r="A140" s="57"/>
      <c r="B140" s="58" t="s">
        <v>0</v>
      </c>
      <c r="C140" s="62" t="s">
        <v>16</v>
      </c>
      <c r="D140" s="203">
        <f>D104+D128+D137</f>
        <v>30.8567</v>
      </c>
      <c r="E140" s="5">
        <f>E104+E128+E137</f>
        <v>33.4105</v>
      </c>
      <c r="F140" s="203">
        <f aca="true" t="shared" si="13" ref="F140:K140">F137+F128+F104</f>
        <v>8.7393</v>
      </c>
      <c r="G140" s="203">
        <f t="shared" si="13"/>
        <v>40.9021</v>
      </c>
      <c r="H140" s="203">
        <f t="shared" si="13"/>
        <v>91.37349999999999</v>
      </c>
      <c r="I140" s="203">
        <f t="shared" si="13"/>
        <v>167.04280000000003</v>
      </c>
      <c r="J140" s="203">
        <f t="shared" si="13"/>
        <v>124.49177999999999</v>
      </c>
      <c r="K140" s="203">
        <f t="shared" si="13"/>
        <v>68.70839999999998</v>
      </c>
      <c r="L140" s="203">
        <f>L137+L128+L104</f>
        <v>53.177569999999996</v>
      </c>
      <c r="M140" s="203">
        <f>M137+M128+M104</f>
        <v>144.5291</v>
      </c>
      <c r="N140" s="203">
        <f>N137+N128+N104</f>
        <v>159.68672000000004</v>
      </c>
      <c r="O140" s="203">
        <f>O137+O128+O104</f>
        <v>65.88759999999999</v>
      </c>
      <c r="P140" s="200">
        <f>SUM(D140:O140)</f>
        <v>988.8060700000001</v>
      </c>
    </row>
    <row r="141" spans="1:16" s="60" customFormat="1" ht="19.5" customHeight="1">
      <c r="A141" s="57"/>
      <c r="B141" s="61" t="s">
        <v>161</v>
      </c>
      <c r="C141" s="62" t="s">
        <v>79</v>
      </c>
      <c r="D141" s="30"/>
      <c r="E141" s="5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15"/>
    </row>
    <row r="142" spans="1:16" s="60" customFormat="1" ht="19.5" customHeight="1" thickBot="1">
      <c r="A142" s="63"/>
      <c r="B142" s="64"/>
      <c r="C142" s="65" t="s">
        <v>18</v>
      </c>
      <c r="D142" s="31">
        <f>D105+D129+D139</f>
        <v>15363.725999999999</v>
      </c>
      <c r="E142" s="6">
        <f>E105+E129+E139</f>
        <v>22537.907</v>
      </c>
      <c r="F142" s="31">
        <f aca="true" t="shared" si="14" ref="F142:K142">F139+F129+F105</f>
        <v>6369.023</v>
      </c>
      <c r="G142" s="31">
        <f t="shared" si="14"/>
        <v>17776.758</v>
      </c>
      <c r="H142" s="31">
        <f t="shared" si="14"/>
        <v>41296.732</v>
      </c>
      <c r="I142" s="31">
        <f t="shared" si="14"/>
        <v>54165.877</v>
      </c>
      <c r="J142" s="31">
        <f t="shared" si="14"/>
        <v>57594.179000000004</v>
      </c>
      <c r="K142" s="31">
        <f t="shared" si="14"/>
        <v>45474.840000000004</v>
      </c>
      <c r="L142" s="31">
        <f>L139+L129+L105</f>
        <v>39360.852000000006</v>
      </c>
      <c r="M142" s="31">
        <f>M139+M129+M105</f>
        <v>77931.33000000002</v>
      </c>
      <c r="N142" s="31">
        <f>N139+N129+N105</f>
        <v>89305.046</v>
      </c>
      <c r="O142" s="31">
        <f>O139+O129+O105</f>
        <v>40985.983</v>
      </c>
      <c r="P142" s="7">
        <f>SUM(D142:O142)</f>
        <v>508162.253</v>
      </c>
    </row>
    <row r="143" ht="18.75">
      <c r="P143" s="67" t="s">
        <v>92</v>
      </c>
    </row>
    <row r="145" spans="4:9" ht="18.75">
      <c r="D145" s="74"/>
      <c r="I145" s="24"/>
    </row>
    <row r="146" spans="4:9" ht="18.75">
      <c r="D146" s="74"/>
      <c r="I146" s="24"/>
    </row>
    <row r="147" ht="18.75">
      <c r="D147" s="74"/>
    </row>
  </sheetData>
  <sheetProtection/>
  <mergeCells count="52">
    <mergeCell ref="A1:P1"/>
    <mergeCell ref="B5:B6"/>
    <mergeCell ref="B9:B10"/>
    <mergeCell ref="A11:B12"/>
    <mergeCell ref="B13:B14"/>
    <mergeCell ref="B31:B32"/>
    <mergeCell ref="B33:B34"/>
    <mergeCell ref="B15:B16"/>
    <mergeCell ref="B17:B18"/>
    <mergeCell ref="B21:B22"/>
    <mergeCell ref="B23:B24"/>
    <mergeCell ref="B25:B26"/>
    <mergeCell ref="B29:B30"/>
    <mergeCell ref="B37:B38"/>
    <mergeCell ref="A39:B40"/>
    <mergeCell ref="A41:B42"/>
    <mergeCell ref="A43:B44"/>
    <mergeCell ref="A45:B46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B88:B89"/>
    <mergeCell ref="A90:B91"/>
    <mergeCell ref="A92:B93"/>
    <mergeCell ref="A94:B95"/>
    <mergeCell ref="A96:B97"/>
    <mergeCell ref="B130:B131"/>
    <mergeCell ref="A98:B99"/>
    <mergeCell ref="A100:B101"/>
    <mergeCell ref="A102:B103"/>
    <mergeCell ref="A104:B105"/>
    <mergeCell ref="B106:B107"/>
    <mergeCell ref="B108:B109"/>
    <mergeCell ref="B132:B133"/>
    <mergeCell ref="B118:B119"/>
    <mergeCell ref="B120:B121"/>
    <mergeCell ref="B122:B123"/>
    <mergeCell ref="B124:B125"/>
    <mergeCell ref="B110:B111"/>
    <mergeCell ref="B112:B113"/>
    <mergeCell ref="B114:B115"/>
    <mergeCell ref="B116:B117"/>
    <mergeCell ref="B128:B129"/>
  </mergeCells>
  <printOptions/>
  <pageMargins left="0.7" right="0.7" top="0.75" bottom="0.75" header="0.3" footer="0.3"/>
  <pageSetup firstPageNumber="45" useFirstPageNumber="1" fitToHeight="2" fitToWidth="1" horizontalDpi="600" verticalDpi="600" orientation="landscape" paperSize="9" scale="36" r:id="rId1"/>
  <rowBreaks count="1" manualBreakCount="1">
    <brk id="7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2"/>
  <sheetViews>
    <sheetView zoomScale="50" zoomScaleNormal="50" zoomScalePageLayoutView="0" workbookViewId="0" topLeftCell="A1">
      <pane xSplit="3" ySplit="4" topLeftCell="D5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21.87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2.625" style="70" customWidth="1"/>
    <col min="16" max="16" width="25.625" style="37" customWidth="1"/>
    <col min="17" max="16384" width="21.875" style="77" customWidth="1"/>
  </cols>
  <sheetData>
    <row r="1" spans="1:16" ht="30.75" customHeight="1">
      <c r="A1" s="375" t="s">
        <v>104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ht="30.75" customHeight="1">
      <c r="B2" s="36"/>
    </row>
    <row r="3" spans="1:15" ht="19.5" customHeight="1" thickBot="1">
      <c r="A3" s="12" t="s">
        <v>218</v>
      </c>
      <c r="B3" s="39"/>
      <c r="C3" s="12"/>
      <c r="O3" s="64" t="s">
        <v>90</v>
      </c>
    </row>
    <row r="4" spans="1:16" ht="19.5" customHeight="1">
      <c r="A4" s="40"/>
      <c r="B4" s="41"/>
      <c r="C4" s="41"/>
      <c r="D4" s="82" t="s">
        <v>89</v>
      </c>
      <c r="E4" s="82" t="s">
        <v>3</v>
      </c>
      <c r="F4" s="82" t="s">
        <v>4</v>
      </c>
      <c r="G4" s="82" t="s">
        <v>5</v>
      </c>
      <c r="H4" s="82" t="s">
        <v>6</v>
      </c>
      <c r="I4" s="82" t="s">
        <v>7</v>
      </c>
      <c r="J4" s="82" t="s">
        <v>8</v>
      </c>
      <c r="K4" s="82" t="s">
        <v>9</v>
      </c>
      <c r="L4" s="82" t="s">
        <v>10</v>
      </c>
      <c r="M4" s="82" t="s">
        <v>11</v>
      </c>
      <c r="N4" s="82" t="s">
        <v>12</v>
      </c>
      <c r="O4" s="82" t="s">
        <v>13</v>
      </c>
      <c r="P4" s="43" t="s">
        <v>14</v>
      </c>
    </row>
    <row r="5" spans="1:16" ht="19.5" customHeight="1">
      <c r="A5" s="44" t="s">
        <v>0</v>
      </c>
      <c r="B5" s="382" t="s">
        <v>15</v>
      </c>
      <c r="C5" s="54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</row>
    <row r="6" spans="1:16" ht="19.5" customHeight="1">
      <c r="A6" s="45" t="s">
        <v>180</v>
      </c>
      <c r="B6" s="383"/>
      <c r="C6" s="48" t="s">
        <v>18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9"/>
    </row>
    <row r="7" spans="1:16" ht="19.5" customHeight="1">
      <c r="A7" s="45" t="s">
        <v>19</v>
      </c>
      <c r="B7" s="47" t="s">
        <v>20</v>
      </c>
      <c r="C7" s="54" t="s">
        <v>16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8"/>
    </row>
    <row r="8" spans="1:16" ht="19.5" customHeight="1">
      <c r="A8" s="45" t="s">
        <v>21</v>
      </c>
      <c r="B8" s="48" t="s">
        <v>153</v>
      </c>
      <c r="C8" s="48" t="s">
        <v>18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9"/>
    </row>
    <row r="9" spans="1:16" s="78" customFormat="1" ht="19.5" customHeight="1">
      <c r="A9" s="95" t="s">
        <v>23</v>
      </c>
      <c r="B9" s="380" t="s">
        <v>107</v>
      </c>
      <c r="C9" s="62" t="s">
        <v>16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5"/>
    </row>
    <row r="10" spans="1:16" s="78" customFormat="1" ht="19.5" customHeight="1">
      <c r="A10" s="90"/>
      <c r="B10" s="381"/>
      <c r="C10" s="91" t="s">
        <v>18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92"/>
    </row>
    <row r="11" spans="1:16" ht="19.5" customHeight="1">
      <c r="A11" s="376" t="s">
        <v>25</v>
      </c>
      <c r="B11" s="377"/>
      <c r="C11" s="54" t="s">
        <v>16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8"/>
    </row>
    <row r="12" spans="1:16" ht="19.5" customHeight="1">
      <c r="A12" s="378"/>
      <c r="B12" s="379"/>
      <c r="C12" s="48" t="s">
        <v>18</v>
      </c>
      <c r="D12" s="34"/>
      <c r="E12" s="34"/>
      <c r="F12" s="34"/>
      <c r="G12" s="97"/>
      <c r="H12" s="34"/>
      <c r="I12" s="34"/>
      <c r="J12" s="34"/>
      <c r="K12" s="34"/>
      <c r="L12" s="34"/>
      <c r="M12" s="34"/>
      <c r="N12" s="34"/>
      <c r="O12" s="34"/>
      <c r="P12" s="9"/>
    </row>
    <row r="13" spans="1:16" ht="19.5" customHeight="1">
      <c r="A13" s="50"/>
      <c r="B13" s="382" t="s">
        <v>26</v>
      </c>
      <c r="C13" s="54" t="s">
        <v>16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8"/>
    </row>
    <row r="14" spans="1:16" ht="19.5" customHeight="1">
      <c r="A14" s="44" t="s">
        <v>0</v>
      </c>
      <c r="B14" s="383"/>
      <c r="C14" s="48" t="s">
        <v>18</v>
      </c>
      <c r="D14" s="34"/>
      <c r="E14" s="34"/>
      <c r="F14" s="156"/>
      <c r="G14" s="97"/>
      <c r="H14" s="34"/>
      <c r="I14" s="34"/>
      <c r="J14" s="34"/>
      <c r="K14" s="34"/>
      <c r="L14" s="34"/>
      <c r="M14" s="34"/>
      <c r="N14" s="34"/>
      <c r="O14" s="34"/>
      <c r="P14" s="9"/>
    </row>
    <row r="15" spans="1:16" ht="19.5" customHeight="1">
      <c r="A15" s="45" t="s">
        <v>27</v>
      </c>
      <c r="B15" s="382" t="s">
        <v>28</v>
      </c>
      <c r="C15" s="54" t="s">
        <v>16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8"/>
    </row>
    <row r="16" spans="1:16" ht="19.5" customHeight="1">
      <c r="A16" s="45" t="s">
        <v>0</v>
      </c>
      <c r="B16" s="383"/>
      <c r="C16" s="48" t="s">
        <v>18</v>
      </c>
      <c r="D16" s="34"/>
      <c r="E16" s="34"/>
      <c r="F16" s="34"/>
      <c r="G16" s="97"/>
      <c r="H16" s="34"/>
      <c r="I16" s="34"/>
      <c r="J16" s="34"/>
      <c r="K16" s="34"/>
      <c r="L16" s="34"/>
      <c r="M16" s="34"/>
      <c r="N16" s="34"/>
      <c r="O16" s="34"/>
      <c r="P16" s="9"/>
    </row>
    <row r="17" spans="1:16" ht="19.5" customHeight="1">
      <c r="A17" s="45" t="s">
        <v>29</v>
      </c>
      <c r="B17" s="382" t="s">
        <v>30</v>
      </c>
      <c r="C17" s="54" t="s">
        <v>16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8"/>
    </row>
    <row r="18" spans="1:16" ht="19.5" customHeight="1">
      <c r="A18" s="45"/>
      <c r="B18" s="383"/>
      <c r="C18" s="48" t="s">
        <v>18</v>
      </c>
      <c r="D18" s="34"/>
      <c r="E18" s="34"/>
      <c r="F18" s="34"/>
      <c r="G18" s="97"/>
      <c r="H18" s="34"/>
      <c r="I18" s="34"/>
      <c r="J18" s="34"/>
      <c r="K18" s="34"/>
      <c r="L18" s="34"/>
      <c r="M18" s="34"/>
      <c r="N18" s="34"/>
      <c r="O18" s="34"/>
      <c r="P18" s="9"/>
    </row>
    <row r="19" spans="1:16" ht="19.5" customHeight="1">
      <c r="A19" s="45" t="s">
        <v>31</v>
      </c>
      <c r="B19" s="47" t="s">
        <v>108</v>
      </c>
      <c r="C19" s="54" t="s">
        <v>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8"/>
    </row>
    <row r="20" spans="1:16" ht="19.5" customHeight="1">
      <c r="A20" s="45"/>
      <c r="B20" s="48" t="s">
        <v>109</v>
      </c>
      <c r="C20" s="48" t="s">
        <v>18</v>
      </c>
      <c r="D20" s="34"/>
      <c r="E20" s="34"/>
      <c r="F20" s="34"/>
      <c r="G20" s="97"/>
      <c r="H20" s="34"/>
      <c r="I20" s="34"/>
      <c r="J20" s="34"/>
      <c r="K20" s="34"/>
      <c r="L20" s="34"/>
      <c r="M20" s="34"/>
      <c r="N20" s="34"/>
      <c r="O20" s="34"/>
      <c r="P20" s="9"/>
    </row>
    <row r="21" spans="1:16" ht="19.5" customHeight="1">
      <c r="A21" s="45" t="s">
        <v>23</v>
      </c>
      <c r="B21" s="382" t="s">
        <v>32</v>
      </c>
      <c r="C21" s="54" t="s">
        <v>16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8"/>
    </row>
    <row r="22" spans="1:16" ht="19.5" customHeight="1">
      <c r="A22" s="45"/>
      <c r="B22" s="383"/>
      <c r="C22" s="48" t="s">
        <v>18</v>
      </c>
      <c r="D22" s="34"/>
      <c r="E22" s="34"/>
      <c r="F22" s="34"/>
      <c r="G22" s="97"/>
      <c r="H22" s="34"/>
      <c r="I22" s="34"/>
      <c r="J22" s="34"/>
      <c r="K22" s="34"/>
      <c r="L22" s="34"/>
      <c r="M22" s="34"/>
      <c r="N22" s="34"/>
      <c r="O22" s="34"/>
      <c r="P22" s="9"/>
    </row>
    <row r="23" spans="1:16" s="78" customFormat="1" ht="19.5" customHeight="1">
      <c r="A23" s="95"/>
      <c r="B23" s="380" t="s">
        <v>114</v>
      </c>
      <c r="C23" s="62" t="s">
        <v>16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5"/>
    </row>
    <row r="24" spans="1:16" s="78" customFormat="1" ht="19.5" customHeight="1">
      <c r="A24" s="96"/>
      <c r="B24" s="381"/>
      <c r="C24" s="91" t="s">
        <v>18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92"/>
    </row>
    <row r="25" spans="1:16" ht="19.5" customHeight="1">
      <c r="A25" s="45" t="s">
        <v>0</v>
      </c>
      <c r="B25" s="382" t="s">
        <v>33</v>
      </c>
      <c r="C25" s="54" t="s">
        <v>16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8"/>
    </row>
    <row r="26" spans="1:16" ht="19.5" customHeight="1">
      <c r="A26" s="45" t="s">
        <v>34</v>
      </c>
      <c r="B26" s="383"/>
      <c r="C26" s="48" t="s">
        <v>18</v>
      </c>
      <c r="D26" s="34"/>
      <c r="E26" s="34"/>
      <c r="F26" s="34"/>
      <c r="G26" s="97"/>
      <c r="H26" s="34"/>
      <c r="I26" s="34"/>
      <c r="J26" s="34"/>
      <c r="K26" s="34"/>
      <c r="L26" s="34"/>
      <c r="M26" s="34"/>
      <c r="N26" s="34"/>
      <c r="O26" s="34"/>
      <c r="P26" s="9"/>
    </row>
    <row r="27" spans="1:16" ht="19.5" customHeight="1">
      <c r="A27" s="45" t="s">
        <v>35</v>
      </c>
      <c r="B27" s="47" t="s">
        <v>20</v>
      </c>
      <c r="C27" s="54" t="s">
        <v>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8"/>
    </row>
    <row r="28" spans="1:16" ht="19.5" customHeight="1">
      <c r="A28" s="45" t="s">
        <v>36</v>
      </c>
      <c r="B28" s="48" t="s">
        <v>162</v>
      </c>
      <c r="C28" s="48" t="s">
        <v>18</v>
      </c>
      <c r="D28" s="34"/>
      <c r="E28" s="34"/>
      <c r="F28" s="34"/>
      <c r="G28" s="97"/>
      <c r="H28" s="34"/>
      <c r="I28" s="34"/>
      <c r="J28" s="34"/>
      <c r="K28" s="34"/>
      <c r="L28" s="34"/>
      <c r="M28" s="34"/>
      <c r="N28" s="34"/>
      <c r="O28" s="34"/>
      <c r="P28" s="9"/>
    </row>
    <row r="29" spans="1:16" s="78" customFormat="1" ht="19.5" customHeight="1">
      <c r="A29" s="95" t="s">
        <v>23</v>
      </c>
      <c r="B29" s="380" t="s">
        <v>107</v>
      </c>
      <c r="C29" s="62" t="s">
        <v>16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5"/>
    </row>
    <row r="30" spans="1:16" s="78" customFormat="1" ht="19.5" customHeight="1">
      <c r="A30" s="96"/>
      <c r="B30" s="381"/>
      <c r="C30" s="91" t="s">
        <v>18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92"/>
    </row>
    <row r="31" spans="1:16" ht="19.5" customHeight="1">
      <c r="A31" s="45" t="s">
        <v>0</v>
      </c>
      <c r="B31" s="382" t="s">
        <v>37</v>
      </c>
      <c r="C31" s="54" t="s">
        <v>16</v>
      </c>
      <c r="D31" s="5">
        <v>26.3755</v>
      </c>
      <c r="E31" s="5">
        <v>2.74998</v>
      </c>
      <c r="F31" s="5">
        <v>2.8064</v>
      </c>
      <c r="G31" s="5">
        <v>4.0806</v>
      </c>
      <c r="H31" s="5">
        <v>0.184</v>
      </c>
      <c r="I31" s="5">
        <v>0.2477</v>
      </c>
      <c r="J31" s="5"/>
      <c r="K31" s="5"/>
      <c r="L31" s="5"/>
      <c r="M31" s="5"/>
      <c r="N31" s="5"/>
      <c r="O31" s="5">
        <v>3.4866</v>
      </c>
      <c r="P31" s="8">
        <f>SUM(D31:O31)</f>
        <v>39.93078</v>
      </c>
    </row>
    <row r="32" spans="1:16" ht="19.5" customHeight="1">
      <c r="A32" s="45" t="s">
        <v>38</v>
      </c>
      <c r="B32" s="383"/>
      <c r="C32" s="48" t="s">
        <v>18</v>
      </c>
      <c r="D32" s="34">
        <f>3242.137*1.08</f>
        <v>3501.5079600000004</v>
      </c>
      <c r="E32" s="34">
        <f>334.622*1.08</f>
        <v>361.39176000000003</v>
      </c>
      <c r="F32" s="34">
        <f>394.594*1.08</f>
        <v>426.16152</v>
      </c>
      <c r="G32" s="97">
        <f>512.795*1.08</f>
        <v>553.8186</v>
      </c>
      <c r="H32" s="34">
        <f>17.85*1.08</f>
        <v>19.278000000000002</v>
      </c>
      <c r="I32" s="34">
        <f>20.485*1.08</f>
        <v>22.1238</v>
      </c>
      <c r="J32" s="34"/>
      <c r="K32" s="34"/>
      <c r="L32" s="34"/>
      <c r="M32" s="34"/>
      <c r="N32" s="34"/>
      <c r="O32" s="34">
        <v>980.254</v>
      </c>
      <c r="P32" s="9">
        <f>SUM(D32:O32)</f>
        <v>5864.53564</v>
      </c>
    </row>
    <row r="33" spans="1:16" ht="19.5" customHeight="1">
      <c r="A33" s="45" t="s">
        <v>0</v>
      </c>
      <c r="B33" s="382" t="s">
        <v>39</v>
      </c>
      <c r="C33" s="54" t="s">
        <v>16</v>
      </c>
      <c r="D33" s="5">
        <v>0.1051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0.012</v>
      </c>
      <c r="P33" s="8">
        <f>SUM(D33:O33)</f>
        <v>0.1171</v>
      </c>
    </row>
    <row r="34" spans="1:16" ht="19.5" customHeight="1">
      <c r="A34" s="45" t="s">
        <v>40</v>
      </c>
      <c r="B34" s="383"/>
      <c r="C34" s="48" t="s">
        <v>18</v>
      </c>
      <c r="D34" s="34">
        <f>5.255*1.08</f>
        <v>5.675400000000001</v>
      </c>
      <c r="E34" s="34"/>
      <c r="F34" s="34"/>
      <c r="G34" s="97"/>
      <c r="H34" s="34"/>
      <c r="I34" s="34"/>
      <c r="J34" s="34"/>
      <c r="K34" s="34"/>
      <c r="L34" s="34"/>
      <c r="M34" s="34"/>
      <c r="N34" s="34"/>
      <c r="O34" s="34">
        <v>0.648</v>
      </c>
      <c r="P34" s="9">
        <f>SUM(D34:O34)</f>
        <v>6.3234</v>
      </c>
    </row>
    <row r="35" spans="1:16" ht="19.5" customHeight="1">
      <c r="A35" s="45"/>
      <c r="B35" s="47" t="s">
        <v>20</v>
      </c>
      <c r="C35" s="54" t="s">
        <v>16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"/>
    </row>
    <row r="36" spans="1:16" ht="19.5" customHeight="1">
      <c r="A36" s="45" t="s">
        <v>23</v>
      </c>
      <c r="B36" s="48" t="s">
        <v>111</v>
      </c>
      <c r="C36" s="48" t="s">
        <v>18</v>
      </c>
      <c r="D36" s="34"/>
      <c r="E36" s="34"/>
      <c r="F36" s="156"/>
      <c r="G36" s="97"/>
      <c r="H36" s="34"/>
      <c r="I36" s="34"/>
      <c r="J36" s="34"/>
      <c r="K36" s="34"/>
      <c r="L36" s="34"/>
      <c r="M36" s="34"/>
      <c r="N36" s="34"/>
      <c r="O36" s="34"/>
      <c r="P36" s="9"/>
    </row>
    <row r="37" spans="1:16" s="78" customFormat="1" ht="19.5" customHeight="1">
      <c r="A37" s="57"/>
      <c r="B37" s="380" t="s">
        <v>107</v>
      </c>
      <c r="C37" s="62" t="s">
        <v>16</v>
      </c>
      <c r="D37" s="5">
        <f aca="true" t="shared" si="0" ref="D37:G38">D31+D33+D35</f>
        <v>26.4806</v>
      </c>
      <c r="E37" s="5">
        <f t="shared" si="0"/>
        <v>2.74998</v>
      </c>
      <c r="F37" s="5">
        <f>F31+F33+F35</f>
        <v>2.8064</v>
      </c>
      <c r="G37" s="5">
        <f>G31+G33+G35</f>
        <v>4.0806</v>
      </c>
      <c r="H37" s="5">
        <f>H31+H33+H35</f>
        <v>0.184</v>
      </c>
      <c r="I37" s="5">
        <f>I31+I33+I35</f>
        <v>0.2477</v>
      </c>
      <c r="J37" s="5"/>
      <c r="K37" s="5"/>
      <c r="L37" s="5"/>
      <c r="M37" s="5"/>
      <c r="N37" s="5"/>
      <c r="O37" s="5">
        <f>O31+O33+O35</f>
        <v>3.4986</v>
      </c>
      <c r="P37" s="15">
        <f aca="true" t="shared" si="1" ref="P37:P68">SUM(D37:O37)</f>
        <v>40.04788</v>
      </c>
    </row>
    <row r="38" spans="1:16" s="78" customFormat="1" ht="19.5" customHeight="1">
      <c r="A38" s="90"/>
      <c r="B38" s="381"/>
      <c r="C38" s="91" t="s">
        <v>18</v>
      </c>
      <c r="D38" s="34">
        <f t="shared" si="0"/>
        <v>3507.1833600000004</v>
      </c>
      <c r="E38" s="34">
        <f t="shared" si="0"/>
        <v>361.39176000000003</v>
      </c>
      <c r="F38" s="34">
        <f>F32+F34+F36</f>
        <v>426.16152</v>
      </c>
      <c r="G38" s="34">
        <f t="shared" si="0"/>
        <v>553.8186</v>
      </c>
      <c r="H38" s="34">
        <f>H32+H34+H36</f>
        <v>19.278000000000002</v>
      </c>
      <c r="I38" s="34">
        <f>I32+I34+I36</f>
        <v>22.1238</v>
      </c>
      <c r="J38" s="34"/>
      <c r="K38" s="34"/>
      <c r="L38" s="34"/>
      <c r="M38" s="34"/>
      <c r="N38" s="34"/>
      <c r="O38" s="34">
        <f>O32+O34+O36</f>
        <v>980.902</v>
      </c>
      <c r="P38" s="92">
        <f t="shared" si="1"/>
        <v>5870.85904</v>
      </c>
    </row>
    <row r="39" spans="1:16" ht="19.5" customHeight="1">
      <c r="A39" s="376" t="s">
        <v>41</v>
      </c>
      <c r="B39" s="377"/>
      <c r="C39" s="54" t="s">
        <v>16</v>
      </c>
      <c r="D39" s="5"/>
      <c r="E39" s="5"/>
      <c r="F39" s="5"/>
      <c r="G39" s="5"/>
      <c r="H39" s="5"/>
      <c r="I39" s="5"/>
      <c r="J39" s="5">
        <v>0.004</v>
      </c>
      <c r="K39" s="5">
        <v>0.0065</v>
      </c>
      <c r="L39" s="5">
        <v>0.4095</v>
      </c>
      <c r="M39" s="5">
        <v>1.4242</v>
      </c>
      <c r="N39" s="5">
        <v>1.2743</v>
      </c>
      <c r="O39" s="5">
        <v>0.684</v>
      </c>
      <c r="P39" s="8">
        <f t="shared" si="1"/>
        <v>3.8025</v>
      </c>
    </row>
    <row r="40" spans="1:16" ht="19.5" customHeight="1">
      <c r="A40" s="378"/>
      <c r="B40" s="379"/>
      <c r="C40" s="48" t="s">
        <v>18</v>
      </c>
      <c r="D40" s="34"/>
      <c r="E40" s="34"/>
      <c r="F40" s="34"/>
      <c r="G40" s="97"/>
      <c r="H40" s="34"/>
      <c r="I40" s="34"/>
      <c r="J40" s="34">
        <f>1.6*1.08</f>
        <v>1.7280000000000002</v>
      </c>
      <c r="K40" s="34">
        <f>1.65*1.08</f>
        <v>1.782</v>
      </c>
      <c r="L40" s="34">
        <f>107.06*1.08</f>
        <v>115.62480000000001</v>
      </c>
      <c r="M40" s="34">
        <f>419.845*1.08</f>
        <v>453.43260000000004</v>
      </c>
      <c r="N40" s="34">
        <f>327.705*1.08</f>
        <v>353.9214</v>
      </c>
      <c r="O40" s="34">
        <v>233.411</v>
      </c>
      <c r="P40" s="9">
        <f t="shared" si="1"/>
        <v>1159.8998000000001</v>
      </c>
    </row>
    <row r="41" spans="1:16" ht="19.5" customHeight="1">
      <c r="A41" s="376" t="s">
        <v>42</v>
      </c>
      <c r="B41" s="377"/>
      <c r="C41" s="54" t="s">
        <v>16</v>
      </c>
      <c r="D41" s="5"/>
      <c r="E41" s="5"/>
      <c r="F41" s="5"/>
      <c r="G41" s="5"/>
      <c r="H41" s="5">
        <v>0.083</v>
      </c>
      <c r="I41" s="5">
        <v>0.1362</v>
      </c>
      <c r="J41" s="5"/>
      <c r="K41" s="5"/>
      <c r="L41" s="5">
        <v>0.2192</v>
      </c>
      <c r="M41" s="5">
        <v>1.8659</v>
      </c>
      <c r="N41" s="5">
        <v>0.7566</v>
      </c>
      <c r="O41" s="5">
        <v>0.1051</v>
      </c>
      <c r="P41" s="8">
        <f t="shared" si="1"/>
        <v>3.1660000000000004</v>
      </c>
    </row>
    <row r="42" spans="1:16" ht="19.5" customHeight="1">
      <c r="A42" s="378"/>
      <c r="B42" s="379"/>
      <c r="C42" s="48" t="s">
        <v>18</v>
      </c>
      <c r="D42" s="34"/>
      <c r="E42" s="34"/>
      <c r="F42" s="34"/>
      <c r="G42" s="97"/>
      <c r="H42" s="34">
        <f>4.15*1.08</f>
        <v>4.482000000000001</v>
      </c>
      <c r="I42" s="34">
        <f>5.026*1.08</f>
        <v>5.4280800000000005</v>
      </c>
      <c r="J42" s="34"/>
      <c r="K42" s="34"/>
      <c r="L42" s="34">
        <f>6.897*1.08</f>
        <v>7.448760000000001</v>
      </c>
      <c r="M42" s="34">
        <f>98.385*1.08</f>
        <v>106.25580000000001</v>
      </c>
      <c r="N42" s="34">
        <f>54.505*1.08</f>
        <v>58.86540000000001</v>
      </c>
      <c r="O42" s="34">
        <v>6.648</v>
      </c>
      <c r="P42" s="9">
        <f t="shared" si="1"/>
        <v>189.12804000000003</v>
      </c>
    </row>
    <row r="43" spans="1:16" ht="19.5" customHeight="1">
      <c r="A43" s="376" t="s">
        <v>43</v>
      </c>
      <c r="B43" s="377"/>
      <c r="C43" s="54" t="s">
        <v>16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8"/>
    </row>
    <row r="44" spans="1:16" ht="19.5" customHeight="1">
      <c r="A44" s="378"/>
      <c r="B44" s="379"/>
      <c r="C44" s="48" t="s">
        <v>18</v>
      </c>
      <c r="D44" s="34"/>
      <c r="E44" s="34"/>
      <c r="F44" s="34"/>
      <c r="G44" s="97"/>
      <c r="H44" s="34"/>
      <c r="I44" s="34"/>
      <c r="J44" s="34"/>
      <c r="K44" s="34"/>
      <c r="L44" s="34"/>
      <c r="M44" s="34"/>
      <c r="N44" s="34"/>
      <c r="O44" s="34"/>
      <c r="P44" s="9"/>
    </row>
    <row r="45" spans="1:16" ht="19.5" customHeight="1">
      <c r="A45" s="376" t="s">
        <v>44</v>
      </c>
      <c r="B45" s="377"/>
      <c r="C45" s="54" t="s">
        <v>16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8"/>
    </row>
    <row r="46" spans="1:16" ht="19.5" customHeight="1">
      <c r="A46" s="378"/>
      <c r="B46" s="379"/>
      <c r="C46" s="48" t="s">
        <v>18</v>
      </c>
      <c r="D46" s="34"/>
      <c r="E46" s="34"/>
      <c r="F46" s="34"/>
      <c r="G46" s="97"/>
      <c r="H46" s="34"/>
      <c r="I46" s="34"/>
      <c r="J46" s="34"/>
      <c r="K46" s="34"/>
      <c r="L46" s="34"/>
      <c r="M46" s="34"/>
      <c r="N46" s="34"/>
      <c r="O46" s="34"/>
      <c r="P46" s="9"/>
    </row>
    <row r="47" spans="1:16" ht="19.5" customHeight="1">
      <c r="A47" s="376" t="s">
        <v>45</v>
      </c>
      <c r="B47" s="377"/>
      <c r="C47" s="54" t="s">
        <v>16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8"/>
    </row>
    <row r="48" spans="1:16" ht="19.5" customHeight="1">
      <c r="A48" s="378"/>
      <c r="B48" s="379"/>
      <c r="C48" s="48" t="s">
        <v>18</v>
      </c>
      <c r="D48" s="34"/>
      <c r="E48" s="34"/>
      <c r="F48" s="34"/>
      <c r="G48" s="97"/>
      <c r="H48" s="34"/>
      <c r="I48" s="34"/>
      <c r="J48" s="34"/>
      <c r="K48" s="34"/>
      <c r="L48" s="34"/>
      <c r="M48" s="34"/>
      <c r="N48" s="34"/>
      <c r="O48" s="34"/>
      <c r="P48" s="9"/>
    </row>
    <row r="49" spans="1:16" ht="19.5" customHeight="1">
      <c r="A49" s="376" t="s">
        <v>46</v>
      </c>
      <c r="B49" s="377"/>
      <c r="C49" s="54" t="s">
        <v>16</v>
      </c>
      <c r="D49" s="5">
        <v>0.011</v>
      </c>
      <c r="E49" s="5"/>
      <c r="F49" s="5"/>
      <c r="G49" s="5"/>
      <c r="H49" s="5"/>
      <c r="I49" s="5">
        <v>0.0076</v>
      </c>
      <c r="J49" s="5">
        <v>0.0067</v>
      </c>
      <c r="K49" s="5"/>
      <c r="L49" s="5">
        <v>3.6</v>
      </c>
      <c r="M49" s="5">
        <v>7.29774</v>
      </c>
      <c r="N49" s="5">
        <v>14.3639</v>
      </c>
      <c r="O49" s="5">
        <v>7.3914</v>
      </c>
      <c r="P49" s="8">
        <f t="shared" si="1"/>
        <v>32.67834</v>
      </c>
    </row>
    <row r="50" spans="1:16" ht="19.5" customHeight="1">
      <c r="A50" s="378"/>
      <c r="B50" s="379"/>
      <c r="C50" s="48" t="s">
        <v>18</v>
      </c>
      <c r="D50" s="34">
        <f>2.75*1.08</f>
        <v>2.97</v>
      </c>
      <c r="E50" s="34"/>
      <c r="F50" s="34"/>
      <c r="G50" s="97"/>
      <c r="H50" s="34"/>
      <c r="I50" s="34">
        <f>0.38*1.08</f>
        <v>0.41040000000000004</v>
      </c>
      <c r="J50" s="34">
        <f>1.65*1.08</f>
        <v>1.782</v>
      </c>
      <c r="K50" s="34"/>
      <c r="L50" s="34">
        <f>1921.55*1.08</f>
        <v>2075.274</v>
      </c>
      <c r="M50" s="34">
        <f>3868.567*1.08</f>
        <v>4178.052360000001</v>
      </c>
      <c r="N50" s="34">
        <f>7345.105*1.08</f>
        <v>7932.7134</v>
      </c>
      <c r="O50" s="34">
        <v>5993.958</v>
      </c>
      <c r="P50" s="9">
        <f t="shared" si="1"/>
        <v>20185.16016</v>
      </c>
    </row>
    <row r="51" spans="1:16" ht="19.5" customHeight="1">
      <c r="A51" s="376" t="s">
        <v>47</v>
      </c>
      <c r="B51" s="377"/>
      <c r="C51" s="54" t="s">
        <v>16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8"/>
    </row>
    <row r="52" spans="1:16" ht="19.5" customHeight="1">
      <c r="A52" s="378"/>
      <c r="B52" s="379"/>
      <c r="C52" s="48" t="s">
        <v>18</v>
      </c>
      <c r="D52" s="34"/>
      <c r="E52" s="34"/>
      <c r="F52" s="34"/>
      <c r="G52" s="97"/>
      <c r="H52" s="34"/>
      <c r="I52" s="34"/>
      <c r="J52" s="34"/>
      <c r="K52" s="34"/>
      <c r="L52" s="34"/>
      <c r="M52" s="34"/>
      <c r="N52" s="34"/>
      <c r="O52" s="34"/>
      <c r="P52" s="9"/>
    </row>
    <row r="53" spans="1:16" ht="19.5" customHeight="1">
      <c r="A53" s="376" t="s">
        <v>48</v>
      </c>
      <c r="B53" s="377"/>
      <c r="C53" s="54" t="s">
        <v>16</v>
      </c>
      <c r="D53" s="5"/>
      <c r="E53" s="5"/>
      <c r="F53" s="5"/>
      <c r="G53" s="5">
        <v>0.0063</v>
      </c>
      <c r="H53" s="5">
        <v>0.0108</v>
      </c>
      <c r="I53" s="5">
        <v>0.007</v>
      </c>
      <c r="J53" s="5"/>
      <c r="K53" s="5"/>
      <c r="L53" s="5">
        <v>0.0029</v>
      </c>
      <c r="M53" s="5">
        <v>0.0585</v>
      </c>
      <c r="N53" s="5">
        <v>0.0221</v>
      </c>
      <c r="O53" s="5"/>
      <c r="P53" s="8">
        <f t="shared" si="1"/>
        <v>0.1076</v>
      </c>
    </row>
    <row r="54" spans="1:16" ht="19.5" customHeight="1">
      <c r="A54" s="378"/>
      <c r="B54" s="379"/>
      <c r="C54" s="48" t="s">
        <v>18</v>
      </c>
      <c r="D54" s="34"/>
      <c r="E54" s="34"/>
      <c r="F54" s="156"/>
      <c r="G54" s="97">
        <f>10.18*1.08</f>
        <v>10.9944</v>
      </c>
      <c r="H54" s="34">
        <f>8.04*1.08</f>
        <v>8.6832</v>
      </c>
      <c r="I54" s="34">
        <f>1.05*1.08</f>
        <v>1.1340000000000001</v>
      </c>
      <c r="J54" s="34"/>
      <c r="K54" s="34"/>
      <c r="L54" s="34">
        <f>0.58*1.08</f>
        <v>0.6264</v>
      </c>
      <c r="M54" s="34">
        <f>4.601*1.08</f>
        <v>4.96908</v>
      </c>
      <c r="N54" s="34">
        <f>1.105*1.08</f>
        <v>1.1934</v>
      </c>
      <c r="O54" s="34"/>
      <c r="P54" s="9">
        <f t="shared" si="1"/>
        <v>27.60048</v>
      </c>
    </row>
    <row r="55" spans="1:16" ht="19.5" customHeight="1">
      <c r="A55" s="44" t="s">
        <v>0</v>
      </c>
      <c r="B55" s="382" t="s">
        <v>132</v>
      </c>
      <c r="C55" s="54" t="s">
        <v>16</v>
      </c>
      <c r="D55" s="5"/>
      <c r="E55" s="5"/>
      <c r="F55" s="5"/>
      <c r="G55" s="5"/>
      <c r="H55" s="5">
        <v>0.0146</v>
      </c>
      <c r="I55" s="5">
        <v>0.3776</v>
      </c>
      <c r="J55" s="5">
        <v>0.2237</v>
      </c>
      <c r="K55" s="5">
        <v>0.0614</v>
      </c>
      <c r="L55" s="5">
        <v>0.5677</v>
      </c>
      <c r="M55" s="5">
        <v>0.6941</v>
      </c>
      <c r="N55" s="5">
        <v>0.174</v>
      </c>
      <c r="O55" s="5">
        <v>0.006</v>
      </c>
      <c r="P55" s="8">
        <f t="shared" si="1"/>
        <v>2.1191</v>
      </c>
    </row>
    <row r="56" spans="1:16" ht="19.5" customHeight="1">
      <c r="A56" s="45" t="s">
        <v>38</v>
      </c>
      <c r="B56" s="383"/>
      <c r="C56" s="48" t="s">
        <v>18</v>
      </c>
      <c r="D56" s="34"/>
      <c r="E56" s="34"/>
      <c r="F56" s="34"/>
      <c r="G56" s="97"/>
      <c r="H56" s="34">
        <f>18.99*1.08</f>
        <v>20.5092</v>
      </c>
      <c r="I56" s="34">
        <f>344.72*1.08</f>
        <v>372.29760000000005</v>
      </c>
      <c r="J56" s="34">
        <f>153.28*1.08</f>
        <v>165.54240000000001</v>
      </c>
      <c r="K56" s="34">
        <f>45.43*1.08</f>
        <v>49.064400000000006</v>
      </c>
      <c r="L56" s="34">
        <f>351.515*1.08</f>
        <v>379.63620000000003</v>
      </c>
      <c r="M56" s="34">
        <f>568.96*1.08</f>
        <v>614.4768</v>
      </c>
      <c r="N56" s="34">
        <f>249.82*1.08</f>
        <v>269.8056</v>
      </c>
      <c r="O56" s="34">
        <v>10.022</v>
      </c>
      <c r="P56" s="9">
        <f t="shared" si="1"/>
        <v>1881.3542000000002</v>
      </c>
    </row>
    <row r="57" spans="1:16" ht="19.5" customHeight="1">
      <c r="A57" s="45" t="s">
        <v>17</v>
      </c>
      <c r="B57" s="47" t="s">
        <v>20</v>
      </c>
      <c r="C57" s="54" t="s">
        <v>16</v>
      </c>
      <c r="D57" s="5"/>
      <c r="E57" s="5"/>
      <c r="F57" s="5"/>
      <c r="G57" s="5"/>
      <c r="H57" s="5">
        <v>0.0036</v>
      </c>
      <c r="I57" s="5"/>
      <c r="J57" s="5">
        <v>0.0045</v>
      </c>
      <c r="K57" s="5">
        <v>0.0118</v>
      </c>
      <c r="L57" s="5">
        <v>0.2336</v>
      </c>
      <c r="M57" s="5">
        <v>0.8105</v>
      </c>
      <c r="N57" s="5">
        <v>0.9825</v>
      </c>
      <c r="O57" s="5">
        <v>0.038</v>
      </c>
      <c r="P57" s="8">
        <f t="shared" si="1"/>
        <v>2.0845</v>
      </c>
    </row>
    <row r="58" spans="1:16" ht="19.5" customHeight="1">
      <c r="A58" s="45" t="s">
        <v>23</v>
      </c>
      <c r="B58" s="48" t="s">
        <v>113</v>
      </c>
      <c r="C58" s="48" t="s">
        <v>18</v>
      </c>
      <c r="D58" s="34"/>
      <c r="E58" s="34"/>
      <c r="F58" s="34"/>
      <c r="G58" s="97"/>
      <c r="H58" s="34">
        <f>7.39*1.08</f>
        <v>7.9812</v>
      </c>
      <c r="I58" s="34"/>
      <c r="J58" s="34">
        <f>5.66*1.08</f>
        <v>6.112800000000001</v>
      </c>
      <c r="K58" s="34">
        <f>10.33*1.08</f>
        <v>11.156400000000001</v>
      </c>
      <c r="L58" s="34">
        <f>82.63*1.08</f>
        <v>89.2404</v>
      </c>
      <c r="M58" s="34">
        <f>307.38*1.08</f>
        <v>331.97040000000004</v>
      </c>
      <c r="N58" s="34">
        <f>349.715*1.08</f>
        <v>377.6922</v>
      </c>
      <c r="O58" s="34">
        <v>24.203</v>
      </c>
      <c r="P58" s="9">
        <f t="shared" si="1"/>
        <v>848.3564</v>
      </c>
    </row>
    <row r="59" spans="1:16" s="78" customFormat="1" ht="19.5" customHeight="1">
      <c r="A59" s="95"/>
      <c r="B59" s="380" t="s">
        <v>114</v>
      </c>
      <c r="C59" s="62" t="s">
        <v>16</v>
      </c>
      <c r="D59" s="5"/>
      <c r="E59" s="5"/>
      <c r="F59" s="5"/>
      <c r="G59" s="5"/>
      <c r="H59" s="5">
        <f aca="true" t="shared" si="2" ref="H59:J60">H55+H57</f>
        <v>0.0182</v>
      </c>
      <c r="I59" s="5">
        <f t="shared" si="2"/>
        <v>0.3776</v>
      </c>
      <c r="J59" s="5">
        <f t="shared" si="2"/>
        <v>0.22820000000000001</v>
      </c>
      <c r="K59" s="5">
        <f aca="true" t="shared" si="3" ref="K59:N60">+K55+K57</f>
        <v>0.0732</v>
      </c>
      <c r="L59" s="5">
        <f t="shared" si="3"/>
        <v>0.8013</v>
      </c>
      <c r="M59" s="5">
        <f t="shared" si="3"/>
        <v>1.5046</v>
      </c>
      <c r="N59" s="5">
        <f t="shared" si="3"/>
        <v>1.1565</v>
      </c>
      <c r="O59" s="5">
        <f>O55+O57</f>
        <v>0.044</v>
      </c>
      <c r="P59" s="15">
        <f t="shared" si="1"/>
        <v>4.2036</v>
      </c>
    </row>
    <row r="60" spans="1:16" s="78" customFormat="1" ht="19.5" customHeight="1">
      <c r="A60" s="96"/>
      <c r="B60" s="381"/>
      <c r="C60" s="91" t="s">
        <v>18</v>
      </c>
      <c r="D60" s="34"/>
      <c r="E60" s="34"/>
      <c r="F60" s="34"/>
      <c r="G60" s="34"/>
      <c r="H60" s="34">
        <f t="shared" si="2"/>
        <v>28.4904</v>
      </c>
      <c r="I60" s="34">
        <f t="shared" si="2"/>
        <v>372.29760000000005</v>
      </c>
      <c r="J60" s="34">
        <f t="shared" si="2"/>
        <v>171.6552</v>
      </c>
      <c r="K60" s="34">
        <f t="shared" si="3"/>
        <v>60.22080000000001</v>
      </c>
      <c r="L60" s="34">
        <f t="shared" si="3"/>
        <v>468.87660000000005</v>
      </c>
      <c r="M60" s="34">
        <f t="shared" si="3"/>
        <v>946.4472000000001</v>
      </c>
      <c r="N60" s="34">
        <f t="shared" si="3"/>
        <v>647.4978000000001</v>
      </c>
      <c r="O60" s="34">
        <f>O56+O58</f>
        <v>34.225</v>
      </c>
      <c r="P60" s="92">
        <f t="shared" si="1"/>
        <v>2729.7106000000003</v>
      </c>
    </row>
    <row r="61" spans="1:16" ht="19.5" customHeight="1">
      <c r="A61" s="45" t="s">
        <v>0</v>
      </c>
      <c r="B61" s="382" t="s">
        <v>115</v>
      </c>
      <c r="C61" s="54" t="s">
        <v>16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8"/>
    </row>
    <row r="62" spans="1:16" ht="19.5" customHeight="1">
      <c r="A62" s="45" t="s">
        <v>49</v>
      </c>
      <c r="B62" s="383"/>
      <c r="C62" s="48" t="s">
        <v>18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9"/>
    </row>
    <row r="63" spans="1:16" ht="19.5" customHeight="1">
      <c r="A63" s="45" t="s">
        <v>0</v>
      </c>
      <c r="B63" s="47" t="s">
        <v>50</v>
      </c>
      <c r="C63" s="54" t="s">
        <v>16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8"/>
    </row>
    <row r="64" spans="1:16" ht="19.5" customHeight="1">
      <c r="A64" s="45" t="s">
        <v>51</v>
      </c>
      <c r="B64" s="48" t="s">
        <v>116</v>
      </c>
      <c r="C64" s="48" t="s">
        <v>18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9"/>
    </row>
    <row r="65" spans="1:16" ht="19.5" customHeight="1">
      <c r="A65" s="45" t="s">
        <v>0</v>
      </c>
      <c r="B65" s="382" t="s">
        <v>53</v>
      </c>
      <c r="C65" s="54" t="s">
        <v>16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8"/>
    </row>
    <row r="66" spans="1:16" ht="19.5" customHeight="1">
      <c r="A66" s="45" t="s">
        <v>23</v>
      </c>
      <c r="B66" s="383"/>
      <c r="C66" s="48" t="s">
        <v>18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9"/>
    </row>
    <row r="67" spans="1:16" ht="19.5" customHeight="1">
      <c r="A67" s="50"/>
      <c r="B67" s="47" t="s">
        <v>20</v>
      </c>
      <c r="C67" s="54" t="s">
        <v>16</v>
      </c>
      <c r="D67" s="5"/>
      <c r="E67" s="5"/>
      <c r="F67" s="5"/>
      <c r="G67" s="5">
        <v>0.013</v>
      </c>
      <c r="H67" s="5"/>
      <c r="I67" s="5"/>
      <c r="J67" s="5"/>
      <c r="K67" s="5"/>
      <c r="L67" s="5"/>
      <c r="M67" s="5"/>
      <c r="N67" s="5"/>
      <c r="O67" s="5"/>
      <c r="P67" s="8">
        <f t="shared" si="1"/>
        <v>0.013</v>
      </c>
    </row>
    <row r="68" spans="1:16" ht="19.5" customHeight="1" thickBot="1">
      <c r="A68" s="51" t="s">
        <v>0</v>
      </c>
      <c r="B68" s="52" t="s">
        <v>116</v>
      </c>
      <c r="C68" s="52" t="s">
        <v>18</v>
      </c>
      <c r="D68" s="6"/>
      <c r="E68" s="6"/>
      <c r="F68" s="6"/>
      <c r="G68" s="6">
        <f>0.65*1.08</f>
        <v>0.7020000000000001</v>
      </c>
      <c r="H68" s="6"/>
      <c r="I68" s="6"/>
      <c r="J68" s="6"/>
      <c r="K68" s="6"/>
      <c r="L68" s="6"/>
      <c r="M68" s="6"/>
      <c r="N68" s="6"/>
      <c r="O68" s="6"/>
      <c r="P68" s="10">
        <f t="shared" si="1"/>
        <v>0.7020000000000001</v>
      </c>
    </row>
    <row r="69" ht="19.5" customHeight="1">
      <c r="P69" s="11"/>
    </row>
    <row r="70" ht="19.5" customHeight="1">
      <c r="P70" s="11"/>
    </row>
    <row r="71" ht="19.5" customHeight="1">
      <c r="P71" s="11"/>
    </row>
    <row r="72" ht="19.5" customHeight="1">
      <c r="P72" s="11"/>
    </row>
    <row r="73" ht="19.5" customHeight="1">
      <c r="P73" s="11"/>
    </row>
    <row r="74" spans="1:16" ht="19.5" customHeight="1" thickBot="1">
      <c r="A74" s="12" t="s">
        <v>218</v>
      </c>
      <c r="B74" s="39"/>
      <c r="C74" s="12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 t="s">
        <v>146</v>
      </c>
      <c r="P74" s="12"/>
    </row>
    <row r="75" spans="1:16" ht="19.5" customHeight="1">
      <c r="A75" s="49"/>
      <c r="B75" s="53"/>
      <c r="C75" s="53"/>
      <c r="D75" s="82" t="s">
        <v>181</v>
      </c>
      <c r="E75" s="82" t="s">
        <v>3</v>
      </c>
      <c r="F75" s="82" t="s">
        <v>4</v>
      </c>
      <c r="G75" s="82" t="s">
        <v>5</v>
      </c>
      <c r="H75" s="82" t="s">
        <v>6</v>
      </c>
      <c r="I75" s="82" t="s">
        <v>7</v>
      </c>
      <c r="J75" s="82" t="s">
        <v>8</v>
      </c>
      <c r="K75" s="82" t="s">
        <v>9</v>
      </c>
      <c r="L75" s="82" t="s">
        <v>10</v>
      </c>
      <c r="M75" s="82" t="s">
        <v>11</v>
      </c>
      <c r="N75" s="82" t="s">
        <v>12</v>
      </c>
      <c r="O75" s="82" t="s">
        <v>13</v>
      </c>
      <c r="P75" s="43" t="s">
        <v>14</v>
      </c>
    </row>
    <row r="76" spans="1:16" s="78" customFormat="1" ht="19.5" customHeight="1">
      <c r="A76" s="95" t="s">
        <v>49</v>
      </c>
      <c r="B76" s="380" t="s">
        <v>24</v>
      </c>
      <c r="C76" s="62" t="s">
        <v>16</v>
      </c>
      <c r="D76" s="5"/>
      <c r="E76" s="5"/>
      <c r="F76" s="5"/>
      <c r="G76" s="5">
        <f>G61+G63+G65+G67</f>
        <v>0.013</v>
      </c>
      <c r="H76" s="5"/>
      <c r="I76" s="5"/>
      <c r="J76" s="5"/>
      <c r="K76" s="5"/>
      <c r="L76" s="5"/>
      <c r="M76" s="5"/>
      <c r="N76" s="5"/>
      <c r="O76" s="5"/>
      <c r="P76" s="15">
        <f>SUM(D76:O76)</f>
        <v>0.013</v>
      </c>
    </row>
    <row r="77" spans="1:16" s="78" customFormat="1" ht="19.5" customHeight="1">
      <c r="A77" s="96" t="s">
        <v>51</v>
      </c>
      <c r="B77" s="381"/>
      <c r="C77" s="91" t="s">
        <v>18</v>
      </c>
      <c r="D77" s="34"/>
      <c r="E77" s="34"/>
      <c r="F77" s="34"/>
      <c r="G77" s="34">
        <f>G62+G64+G66+G68</f>
        <v>0.7020000000000001</v>
      </c>
      <c r="H77" s="34"/>
      <c r="I77" s="34"/>
      <c r="J77" s="34"/>
      <c r="K77" s="34"/>
      <c r="L77" s="34"/>
      <c r="M77" s="4"/>
      <c r="N77" s="34"/>
      <c r="O77" s="34"/>
      <c r="P77" s="92">
        <f>SUM(D77:O77)</f>
        <v>0.7020000000000001</v>
      </c>
    </row>
    <row r="78" spans="1:16" ht="19.5" customHeight="1">
      <c r="A78" s="45" t="s">
        <v>0</v>
      </c>
      <c r="B78" s="382" t="s">
        <v>54</v>
      </c>
      <c r="C78" s="54" t="s">
        <v>16</v>
      </c>
      <c r="D78" s="5">
        <v>0.7385</v>
      </c>
      <c r="E78" s="5">
        <v>0.1948</v>
      </c>
      <c r="F78" s="5">
        <v>0.1846</v>
      </c>
      <c r="G78" s="5">
        <v>1.3958</v>
      </c>
      <c r="H78" s="5">
        <v>10.2143</v>
      </c>
      <c r="I78" s="5">
        <v>51.14025</v>
      </c>
      <c r="J78" s="5">
        <v>64.92488</v>
      </c>
      <c r="K78" s="5">
        <v>16.5394</v>
      </c>
      <c r="L78" s="5">
        <v>5.8627</v>
      </c>
      <c r="M78" s="83">
        <v>5.96933</v>
      </c>
      <c r="N78" s="5">
        <v>3.0188</v>
      </c>
      <c r="O78" s="5">
        <v>3.77839</v>
      </c>
      <c r="P78" s="8">
        <f>SUM(D78:O78)</f>
        <v>163.96175000000002</v>
      </c>
    </row>
    <row r="79" spans="1:16" ht="19.5" customHeight="1">
      <c r="A79" s="45" t="s">
        <v>34</v>
      </c>
      <c r="B79" s="383"/>
      <c r="C79" s="48" t="s">
        <v>18</v>
      </c>
      <c r="D79" s="34">
        <f>1151.89*1.08</f>
        <v>1244.0412000000001</v>
      </c>
      <c r="E79" s="34">
        <f>346.28*1.08</f>
        <v>373.9824</v>
      </c>
      <c r="F79" s="34">
        <f>340.06*1.08</f>
        <v>367.26480000000004</v>
      </c>
      <c r="G79" s="97">
        <f>1832.66*1.08</f>
        <v>1979.2728000000002</v>
      </c>
      <c r="H79" s="34">
        <f>6446.681*1.08</f>
        <v>6962.41548</v>
      </c>
      <c r="I79" s="34">
        <f>14589.704*1.08</f>
        <v>15756.88032</v>
      </c>
      <c r="J79" s="34">
        <f>28410.276*1.08</f>
        <v>30683.098080000003</v>
      </c>
      <c r="K79" s="34">
        <f>15469.565*1.08</f>
        <v>16707.130200000003</v>
      </c>
      <c r="L79" s="34">
        <f>7008.95*1.08</f>
        <v>7569.666</v>
      </c>
      <c r="M79" s="34">
        <f>8740.165*1.08</f>
        <v>9439.378200000001</v>
      </c>
      <c r="N79" s="34">
        <f>4315.8*1.08</f>
        <v>4661.064</v>
      </c>
      <c r="O79" s="34">
        <v>5339.923</v>
      </c>
      <c r="P79" s="9">
        <f>SUM(D79:O79)</f>
        <v>101084.11648</v>
      </c>
    </row>
    <row r="80" spans="1:16" ht="19.5" customHeight="1">
      <c r="A80" s="45" t="s">
        <v>0</v>
      </c>
      <c r="B80" s="382" t="s">
        <v>55</v>
      </c>
      <c r="C80" s="54" t="s">
        <v>16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8"/>
    </row>
    <row r="81" spans="1:16" ht="19.5" customHeight="1">
      <c r="A81" s="45" t="s">
        <v>0</v>
      </c>
      <c r="B81" s="383"/>
      <c r="C81" s="48" t="s">
        <v>18</v>
      </c>
      <c r="D81" s="34"/>
      <c r="E81" s="34"/>
      <c r="F81" s="156"/>
      <c r="G81" s="97"/>
      <c r="H81" s="34"/>
      <c r="I81" s="34"/>
      <c r="J81" s="34"/>
      <c r="K81" s="34"/>
      <c r="L81" s="34"/>
      <c r="M81" s="34"/>
      <c r="N81" s="34"/>
      <c r="O81" s="34"/>
      <c r="P81" s="9"/>
    </row>
    <row r="82" spans="1:16" ht="19.5" customHeight="1">
      <c r="A82" s="45" t="s">
        <v>56</v>
      </c>
      <c r="B82" s="47" t="s">
        <v>182</v>
      </c>
      <c r="C82" s="54" t="s">
        <v>16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8"/>
    </row>
    <row r="83" spans="1:16" ht="19.5" customHeight="1">
      <c r="A83" s="45"/>
      <c r="B83" s="48" t="s">
        <v>164</v>
      </c>
      <c r="C83" s="48" t="s">
        <v>18</v>
      </c>
      <c r="D83" s="34"/>
      <c r="E83" s="34"/>
      <c r="F83" s="34"/>
      <c r="G83" s="97"/>
      <c r="H83" s="34"/>
      <c r="I83" s="34"/>
      <c r="J83" s="34"/>
      <c r="K83" s="34"/>
      <c r="L83" s="34"/>
      <c r="M83" s="34"/>
      <c r="N83" s="34"/>
      <c r="O83" s="34"/>
      <c r="P83" s="9"/>
    </row>
    <row r="84" spans="1:16" ht="19.5" customHeight="1">
      <c r="A84" s="45"/>
      <c r="B84" s="382" t="s">
        <v>59</v>
      </c>
      <c r="C84" s="54" t="s">
        <v>16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8"/>
    </row>
    <row r="85" spans="1:16" ht="19.5" customHeight="1">
      <c r="A85" s="45" t="s">
        <v>17</v>
      </c>
      <c r="B85" s="383"/>
      <c r="C85" s="48" t="s">
        <v>18</v>
      </c>
      <c r="D85" s="34"/>
      <c r="E85" s="34"/>
      <c r="F85" s="34"/>
      <c r="G85" s="97"/>
      <c r="H85" s="34"/>
      <c r="I85" s="34"/>
      <c r="J85" s="34"/>
      <c r="K85" s="34"/>
      <c r="L85" s="34"/>
      <c r="M85" s="34"/>
      <c r="N85" s="34"/>
      <c r="O85" s="34"/>
      <c r="P85" s="9"/>
    </row>
    <row r="86" spans="1:16" ht="19.5" customHeight="1">
      <c r="A86" s="45"/>
      <c r="B86" s="47" t="s">
        <v>20</v>
      </c>
      <c r="C86" s="54" t="s">
        <v>16</v>
      </c>
      <c r="D86" s="5">
        <v>7.1756</v>
      </c>
      <c r="E86" s="5">
        <v>1.7197</v>
      </c>
      <c r="F86" s="5">
        <v>3.12928</v>
      </c>
      <c r="G86" s="5">
        <v>12.7646</v>
      </c>
      <c r="H86" s="5">
        <v>7.98606</v>
      </c>
      <c r="I86" s="5">
        <v>14.6439</v>
      </c>
      <c r="J86" s="5">
        <v>12.8048</v>
      </c>
      <c r="K86" s="5">
        <v>3.333</v>
      </c>
      <c r="L86" s="5">
        <v>0.8928</v>
      </c>
      <c r="M86" s="5">
        <v>0.6595</v>
      </c>
      <c r="N86" s="5">
        <v>0.6566</v>
      </c>
      <c r="O86" s="5">
        <v>14.37056</v>
      </c>
      <c r="P86" s="8">
        <f aca="true" t="shared" si="4" ref="P86:P91">SUM(D86:O86)</f>
        <v>80.1364</v>
      </c>
    </row>
    <row r="87" spans="1:16" ht="19.5" customHeight="1">
      <c r="A87" s="45"/>
      <c r="B87" s="48" t="s">
        <v>155</v>
      </c>
      <c r="C87" s="48" t="s">
        <v>18</v>
      </c>
      <c r="D87" s="34">
        <f>1888.03*1.08</f>
        <v>2039.0724</v>
      </c>
      <c r="E87" s="34">
        <f>580.89*1.08</f>
        <v>627.3612</v>
      </c>
      <c r="F87" s="34">
        <f>1315.277*1.08</f>
        <v>1420.49916</v>
      </c>
      <c r="G87" s="97">
        <f>4347.635*1.08</f>
        <v>4695.4458</v>
      </c>
      <c r="H87" s="34">
        <f>3892.154*1.08</f>
        <v>4203.52632</v>
      </c>
      <c r="I87" s="34">
        <f>8725.105*1.08</f>
        <v>9423.1134</v>
      </c>
      <c r="J87" s="34">
        <f>7825.115*1.08</f>
        <v>8451.1242</v>
      </c>
      <c r="K87" s="34">
        <f>2936.485*1.08</f>
        <v>3171.4038000000005</v>
      </c>
      <c r="L87" s="34">
        <f>1272.82*1.08</f>
        <v>1374.6456</v>
      </c>
      <c r="M87" s="34">
        <f>893.2*1.08</f>
        <v>964.6560000000001</v>
      </c>
      <c r="N87" s="34">
        <f>488.9*1.08</f>
        <v>528.0120000000001</v>
      </c>
      <c r="O87" s="34">
        <v>6387.794</v>
      </c>
      <c r="P87" s="9">
        <f t="shared" si="4"/>
        <v>43286.65388000001</v>
      </c>
    </row>
    <row r="88" spans="1:16" s="78" customFormat="1" ht="19.5" customHeight="1">
      <c r="A88" s="95" t="s">
        <v>23</v>
      </c>
      <c r="B88" s="380" t="s">
        <v>183</v>
      </c>
      <c r="C88" s="62" t="s">
        <v>16</v>
      </c>
      <c r="D88" s="5">
        <f aca="true" t="shared" si="5" ref="D88:G89">+D78+D80+D82+D84+D86</f>
        <v>7.9141</v>
      </c>
      <c r="E88" s="5">
        <f t="shared" si="5"/>
        <v>1.9145</v>
      </c>
      <c r="F88" s="5">
        <f>+F78+F80+F82+F84+F86</f>
        <v>3.31388</v>
      </c>
      <c r="G88" s="5">
        <f t="shared" si="5"/>
        <v>14.1604</v>
      </c>
      <c r="H88" s="5">
        <f>+H78+H80+H82+H84+H86</f>
        <v>18.20036</v>
      </c>
      <c r="I88" s="5">
        <f aca="true" t="shared" si="6" ref="I88:O89">+I78+I80+I82+I84+I86</f>
        <v>65.78415</v>
      </c>
      <c r="J88" s="5">
        <f t="shared" si="6"/>
        <v>77.72968</v>
      </c>
      <c r="K88" s="5">
        <f t="shared" si="6"/>
        <v>19.8724</v>
      </c>
      <c r="L88" s="5">
        <f t="shared" si="6"/>
        <v>6.7555000000000005</v>
      </c>
      <c r="M88" s="5">
        <f t="shared" si="6"/>
        <v>6.628830000000001</v>
      </c>
      <c r="N88" s="5">
        <f t="shared" si="6"/>
        <v>3.6754000000000002</v>
      </c>
      <c r="O88" s="5">
        <f t="shared" si="6"/>
        <v>18.14895</v>
      </c>
      <c r="P88" s="15">
        <f t="shared" si="4"/>
        <v>244.09814999999998</v>
      </c>
    </row>
    <row r="89" spans="1:16" s="78" customFormat="1" ht="19.5" customHeight="1">
      <c r="A89" s="90"/>
      <c r="B89" s="381"/>
      <c r="C89" s="91" t="s">
        <v>18</v>
      </c>
      <c r="D89" s="34">
        <f t="shared" si="5"/>
        <v>3283.1136</v>
      </c>
      <c r="E89" s="34">
        <f t="shared" si="5"/>
        <v>1001.3436</v>
      </c>
      <c r="F89" s="34">
        <f>+F79+F81+F83+F85+F87</f>
        <v>1787.7639600000002</v>
      </c>
      <c r="G89" s="34">
        <f t="shared" si="5"/>
        <v>6674.7186</v>
      </c>
      <c r="H89" s="34">
        <f>+H79+H81+H83+H85+H87</f>
        <v>11165.9418</v>
      </c>
      <c r="I89" s="34">
        <f t="shared" si="6"/>
        <v>25179.99372</v>
      </c>
      <c r="J89" s="34">
        <f t="shared" si="6"/>
        <v>39134.22228</v>
      </c>
      <c r="K89" s="34">
        <f t="shared" si="6"/>
        <v>19878.534000000003</v>
      </c>
      <c r="L89" s="34">
        <f t="shared" si="6"/>
        <v>8944.3116</v>
      </c>
      <c r="M89" s="34">
        <f t="shared" si="6"/>
        <v>10404.034200000002</v>
      </c>
      <c r="N89" s="34">
        <f t="shared" si="6"/>
        <v>5189.076</v>
      </c>
      <c r="O89" s="34">
        <f t="shared" si="6"/>
        <v>11727.717</v>
      </c>
      <c r="P89" s="92">
        <f t="shared" si="4"/>
        <v>144370.77036</v>
      </c>
    </row>
    <row r="90" spans="1:16" ht="19.5" customHeight="1">
      <c r="A90" s="376" t="s">
        <v>184</v>
      </c>
      <c r="B90" s="377"/>
      <c r="C90" s="54" t="s">
        <v>16</v>
      </c>
      <c r="D90" s="5"/>
      <c r="E90" s="5"/>
      <c r="F90" s="5">
        <v>0.0034</v>
      </c>
      <c r="G90" s="5">
        <v>0.0725</v>
      </c>
      <c r="H90" s="5">
        <v>0.3698</v>
      </c>
      <c r="I90" s="5">
        <v>0.4636</v>
      </c>
      <c r="J90" s="5">
        <v>0.6723</v>
      </c>
      <c r="K90" s="5">
        <v>1.2953</v>
      </c>
      <c r="L90" s="5">
        <v>1.3847</v>
      </c>
      <c r="M90" s="5">
        <v>1.1081</v>
      </c>
      <c r="N90" s="5">
        <v>1.1419</v>
      </c>
      <c r="O90" s="5">
        <v>0.2673</v>
      </c>
      <c r="P90" s="8">
        <f t="shared" si="4"/>
        <v>6.778899999999999</v>
      </c>
    </row>
    <row r="91" spans="1:16" ht="19.5" customHeight="1">
      <c r="A91" s="378"/>
      <c r="B91" s="379"/>
      <c r="C91" s="48" t="s">
        <v>18</v>
      </c>
      <c r="D91" s="34"/>
      <c r="E91" s="34"/>
      <c r="F91" s="34">
        <f>4.85*1.08</f>
        <v>5.2379999999999995</v>
      </c>
      <c r="G91" s="97">
        <f>102.52*1.08</f>
        <v>110.72160000000001</v>
      </c>
      <c r="H91" s="34">
        <f>590.04*1.08</f>
        <v>637.2432</v>
      </c>
      <c r="I91" s="34">
        <f>547.46*1.08</f>
        <v>591.2568000000001</v>
      </c>
      <c r="J91" s="34">
        <f>682.53*1.08</f>
        <v>737.1324000000001</v>
      </c>
      <c r="K91" s="34">
        <f>1300.475*1.08</f>
        <v>1404.513</v>
      </c>
      <c r="L91" s="34">
        <f>1184.145*1.08</f>
        <v>1278.8766</v>
      </c>
      <c r="M91" s="34">
        <f>1006.15*1.08</f>
        <v>1086.642</v>
      </c>
      <c r="N91" s="34">
        <f>1007.69*1.08</f>
        <v>1088.3052000000002</v>
      </c>
      <c r="O91" s="34">
        <v>224.262</v>
      </c>
      <c r="P91" s="9">
        <f t="shared" si="4"/>
        <v>7164.190799999999</v>
      </c>
    </row>
    <row r="92" spans="1:16" ht="19.5" customHeight="1">
      <c r="A92" s="376" t="s">
        <v>185</v>
      </c>
      <c r="B92" s="377"/>
      <c r="C92" s="54" t="s">
        <v>16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8"/>
    </row>
    <row r="93" spans="1:16" ht="19.5" customHeight="1">
      <c r="A93" s="378"/>
      <c r="B93" s="379"/>
      <c r="C93" s="48" t="s">
        <v>18</v>
      </c>
      <c r="D93" s="34"/>
      <c r="E93" s="34"/>
      <c r="F93" s="34"/>
      <c r="G93" s="97"/>
      <c r="H93" s="34"/>
      <c r="I93" s="34"/>
      <c r="J93" s="34"/>
      <c r="K93" s="34"/>
      <c r="L93" s="34"/>
      <c r="M93" s="34"/>
      <c r="N93" s="34"/>
      <c r="O93" s="34"/>
      <c r="P93" s="9"/>
    </row>
    <row r="94" spans="1:16" ht="19.5" customHeight="1">
      <c r="A94" s="376" t="s">
        <v>186</v>
      </c>
      <c r="B94" s="377"/>
      <c r="C94" s="54" t="s">
        <v>16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8"/>
    </row>
    <row r="95" spans="1:16" ht="19.5" customHeight="1">
      <c r="A95" s="378"/>
      <c r="B95" s="379"/>
      <c r="C95" s="48" t="s">
        <v>18</v>
      </c>
      <c r="D95" s="34"/>
      <c r="E95" s="34"/>
      <c r="F95" s="34"/>
      <c r="G95" s="97"/>
      <c r="H95" s="34"/>
      <c r="I95" s="34"/>
      <c r="J95" s="34"/>
      <c r="K95" s="34"/>
      <c r="L95" s="34"/>
      <c r="M95" s="34"/>
      <c r="N95" s="34"/>
      <c r="O95" s="34"/>
      <c r="P95" s="9"/>
    </row>
    <row r="96" spans="1:16" ht="19.5" customHeight="1">
      <c r="A96" s="376" t="s">
        <v>187</v>
      </c>
      <c r="B96" s="377"/>
      <c r="C96" s="54" t="s">
        <v>16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8"/>
    </row>
    <row r="97" spans="1:16" ht="19.5" customHeight="1">
      <c r="A97" s="378"/>
      <c r="B97" s="379"/>
      <c r="C97" s="48" t="s">
        <v>18</v>
      </c>
      <c r="D97" s="34"/>
      <c r="E97" s="34"/>
      <c r="F97" s="34"/>
      <c r="G97" s="97"/>
      <c r="H97" s="34"/>
      <c r="I97" s="34"/>
      <c r="J97" s="34"/>
      <c r="K97" s="34"/>
      <c r="L97" s="34"/>
      <c r="M97" s="34"/>
      <c r="N97" s="34"/>
      <c r="O97" s="34"/>
      <c r="P97" s="9"/>
    </row>
    <row r="98" spans="1:16" ht="19.5" customHeight="1">
      <c r="A98" s="376" t="s">
        <v>165</v>
      </c>
      <c r="B98" s="377"/>
      <c r="C98" s="54" t="s">
        <v>16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8"/>
    </row>
    <row r="99" spans="1:16" ht="19.5" customHeight="1">
      <c r="A99" s="378"/>
      <c r="B99" s="379"/>
      <c r="C99" s="48" t="s">
        <v>18</v>
      </c>
      <c r="D99" s="34"/>
      <c r="E99" s="34"/>
      <c r="F99" s="34"/>
      <c r="G99" s="156"/>
      <c r="H99" s="97"/>
      <c r="I99" s="34"/>
      <c r="J99" s="34"/>
      <c r="K99" s="34"/>
      <c r="L99" s="34"/>
      <c r="M99" s="34"/>
      <c r="N99" s="34"/>
      <c r="O99" s="34"/>
      <c r="P99" s="9"/>
    </row>
    <row r="100" spans="1:16" ht="19.5" customHeight="1">
      <c r="A100" s="376" t="s">
        <v>166</v>
      </c>
      <c r="B100" s="377"/>
      <c r="C100" s="54" t="s">
        <v>16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8"/>
    </row>
    <row r="101" spans="1:16" ht="19.5" customHeight="1">
      <c r="A101" s="378"/>
      <c r="B101" s="379"/>
      <c r="C101" s="48" t="s">
        <v>18</v>
      </c>
      <c r="D101" s="34"/>
      <c r="E101" s="34"/>
      <c r="F101" s="34"/>
      <c r="G101" s="156"/>
      <c r="H101" s="97"/>
      <c r="I101" s="34"/>
      <c r="J101" s="34"/>
      <c r="K101" s="34"/>
      <c r="L101" s="34"/>
      <c r="M101" s="34"/>
      <c r="N101" s="34"/>
      <c r="O101" s="34"/>
      <c r="P101" s="9"/>
    </row>
    <row r="102" spans="1:16" ht="19.5" customHeight="1">
      <c r="A102" s="376" t="s">
        <v>64</v>
      </c>
      <c r="B102" s="377"/>
      <c r="C102" s="54" t="s">
        <v>16</v>
      </c>
      <c r="D102" s="5">
        <v>2.2884</v>
      </c>
      <c r="E102" s="5">
        <v>7.40725</v>
      </c>
      <c r="F102" s="5">
        <v>11.0052</v>
      </c>
      <c r="G102" s="5">
        <v>15.23116</v>
      </c>
      <c r="H102" s="5">
        <v>2.9743</v>
      </c>
      <c r="I102" s="5">
        <v>1.8934</v>
      </c>
      <c r="J102" s="5">
        <v>2.45695</v>
      </c>
      <c r="K102" s="5">
        <v>2.5529</v>
      </c>
      <c r="L102" s="5">
        <v>2.5427</v>
      </c>
      <c r="M102" s="5">
        <v>5.0576</v>
      </c>
      <c r="N102" s="5">
        <v>7.1939</v>
      </c>
      <c r="O102" s="5">
        <v>4.4092</v>
      </c>
      <c r="P102" s="8">
        <f>SUM(D102:O102)</f>
        <v>65.01296</v>
      </c>
    </row>
    <row r="103" spans="1:16" ht="19.5" customHeight="1">
      <c r="A103" s="378"/>
      <c r="B103" s="379"/>
      <c r="C103" s="48" t="s">
        <v>18</v>
      </c>
      <c r="D103" s="34">
        <f>2614.768*1.08</f>
        <v>2823.9494400000003</v>
      </c>
      <c r="E103" s="34">
        <f>9660.615*1.08</f>
        <v>10433.4642</v>
      </c>
      <c r="F103" s="34">
        <f>16641.09*1.08</f>
        <v>17972.377200000003</v>
      </c>
      <c r="G103" s="97">
        <f>16956.701*1.08</f>
        <v>18313.237080000003</v>
      </c>
      <c r="H103" s="34">
        <f>3294.26*1.08</f>
        <v>3557.8008000000004</v>
      </c>
      <c r="I103" s="34">
        <f>997.548*1.08</f>
        <v>1077.35184</v>
      </c>
      <c r="J103" s="34">
        <f>905.295*1.08</f>
        <v>977.7186</v>
      </c>
      <c r="K103" s="34">
        <f>1421.646*1.08</f>
        <v>1535.37768</v>
      </c>
      <c r="L103" s="34">
        <f>2285.122*1.08</f>
        <v>2467.93176</v>
      </c>
      <c r="M103" s="34">
        <f>3819.205*1.08</f>
        <v>4124.7414</v>
      </c>
      <c r="N103" s="34">
        <f>5939.11*1.08</f>
        <v>6414.2388</v>
      </c>
      <c r="O103" s="34">
        <v>6010.737</v>
      </c>
      <c r="P103" s="9">
        <f>SUM(D103:O103)</f>
        <v>75708.9258</v>
      </c>
    </row>
    <row r="104" spans="1:16" s="78" customFormat="1" ht="19.5" customHeight="1">
      <c r="A104" s="384" t="s">
        <v>65</v>
      </c>
      <c r="B104" s="385"/>
      <c r="C104" s="62" t="s">
        <v>16</v>
      </c>
      <c r="D104" s="5">
        <f aca="true" t="shared" si="7" ref="D104:O104">+D9+D11+D23+D29+D37+D39+D41+D43+D45+D47+D49+D51+D53+D59+D76+D88+D90+D92+D94+D96+D98+D100+D102</f>
        <v>36.6941</v>
      </c>
      <c r="E104" s="5">
        <f t="shared" si="7"/>
        <v>12.07173</v>
      </c>
      <c r="F104" s="5">
        <f t="shared" si="7"/>
        <v>17.128880000000002</v>
      </c>
      <c r="G104" s="5">
        <f t="shared" si="7"/>
        <v>33.56396</v>
      </c>
      <c r="H104" s="5">
        <f t="shared" si="7"/>
        <v>21.84046</v>
      </c>
      <c r="I104" s="5">
        <f t="shared" si="7"/>
        <v>68.91725</v>
      </c>
      <c r="J104" s="5">
        <f t="shared" si="7"/>
        <v>81.09783000000002</v>
      </c>
      <c r="K104" s="5">
        <f t="shared" si="7"/>
        <v>23.8003</v>
      </c>
      <c r="L104" s="5">
        <f t="shared" si="7"/>
        <v>15.715800000000002</v>
      </c>
      <c r="M104" s="5">
        <f t="shared" si="7"/>
        <v>24.94547</v>
      </c>
      <c r="N104" s="5">
        <f t="shared" si="7"/>
        <v>29.5846</v>
      </c>
      <c r="O104" s="5">
        <f t="shared" si="7"/>
        <v>34.54855</v>
      </c>
      <c r="P104" s="15">
        <f>SUM(D104:O104)</f>
        <v>399.90893</v>
      </c>
    </row>
    <row r="105" spans="1:16" s="78" customFormat="1" ht="19.5" customHeight="1">
      <c r="A105" s="386"/>
      <c r="B105" s="387"/>
      <c r="C105" s="91" t="s">
        <v>18</v>
      </c>
      <c r="D105" s="34">
        <f aca="true" t="shared" si="8" ref="D105:O105">+D10+D12+D24+D30+D38+D40+D42+D44+D46+D48+D50+D52+D54+D60+D77+D89+D91+D93+D95+D97+D99+D101+D103</f>
        <v>9617.216400000001</v>
      </c>
      <c r="E105" s="34">
        <f t="shared" si="8"/>
        <v>11796.199560000001</v>
      </c>
      <c r="F105" s="34">
        <f t="shared" si="8"/>
        <v>20191.540680000002</v>
      </c>
      <c r="G105" s="34">
        <f t="shared" si="8"/>
        <v>25664.192280000003</v>
      </c>
      <c r="H105" s="34">
        <f t="shared" si="8"/>
        <v>15421.919400000002</v>
      </c>
      <c r="I105" s="34">
        <f t="shared" si="8"/>
        <v>27249.996239999997</v>
      </c>
      <c r="J105" s="34">
        <f t="shared" si="8"/>
        <v>41024.23848000001</v>
      </c>
      <c r="K105" s="34">
        <f t="shared" si="8"/>
        <v>22880.427480000002</v>
      </c>
      <c r="L105" s="34">
        <f t="shared" si="8"/>
        <v>15358.970519999999</v>
      </c>
      <c r="M105" s="34">
        <f t="shared" si="8"/>
        <v>21304.574640000003</v>
      </c>
      <c r="N105" s="34">
        <f t="shared" si="8"/>
        <v>21685.811400000002</v>
      </c>
      <c r="O105" s="34">
        <f t="shared" si="8"/>
        <v>25211.86</v>
      </c>
      <c r="P105" s="92">
        <f>SUM(D105:O105)</f>
        <v>257406.94708</v>
      </c>
    </row>
    <row r="106" spans="1:16" ht="19.5" customHeight="1">
      <c r="A106" s="44" t="s">
        <v>0</v>
      </c>
      <c r="B106" s="382" t="s">
        <v>167</v>
      </c>
      <c r="C106" s="54" t="s">
        <v>16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8"/>
    </row>
    <row r="107" spans="1:16" ht="19.5" customHeight="1">
      <c r="A107" s="44" t="s">
        <v>0</v>
      </c>
      <c r="B107" s="383"/>
      <c r="C107" s="48" t="s">
        <v>18</v>
      </c>
      <c r="D107" s="34"/>
      <c r="E107" s="34"/>
      <c r="F107" s="34"/>
      <c r="G107" s="156"/>
      <c r="H107" s="97"/>
      <c r="I107" s="34"/>
      <c r="J107" s="34"/>
      <c r="K107" s="34"/>
      <c r="L107" s="34"/>
      <c r="M107" s="34"/>
      <c r="N107" s="34"/>
      <c r="O107" s="34"/>
      <c r="P107" s="9"/>
    </row>
    <row r="108" spans="1:16" ht="19.5" customHeight="1">
      <c r="A108" s="45" t="s">
        <v>66</v>
      </c>
      <c r="B108" s="382" t="s">
        <v>188</v>
      </c>
      <c r="C108" s="54" t="s">
        <v>16</v>
      </c>
      <c r="D108" s="5">
        <v>0.0617</v>
      </c>
      <c r="E108" s="5">
        <v>0.0244</v>
      </c>
      <c r="F108" s="5">
        <v>0.1211</v>
      </c>
      <c r="G108" s="5">
        <v>0.8481</v>
      </c>
      <c r="H108" s="5">
        <v>0.7381</v>
      </c>
      <c r="I108" s="5">
        <v>0.3257</v>
      </c>
      <c r="J108" s="5">
        <v>3.3403</v>
      </c>
      <c r="K108" s="5">
        <v>2.5792</v>
      </c>
      <c r="L108" s="5">
        <v>0.0075</v>
      </c>
      <c r="M108" s="5">
        <v>0.0149</v>
      </c>
      <c r="N108" s="5">
        <v>0.089</v>
      </c>
      <c r="O108" s="5">
        <v>0.091</v>
      </c>
      <c r="P108" s="8">
        <f aca="true" t="shared" si="9" ref="P108:P129">SUM(D108:O108)</f>
        <v>8.241000000000001</v>
      </c>
    </row>
    <row r="109" spans="1:16" ht="19.5" customHeight="1">
      <c r="A109" s="45" t="s">
        <v>0</v>
      </c>
      <c r="B109" s="383"/>
      <c r="C109" s="48" t="s">
        <v>18</v>
      </c>
      <c r="D109" s="34">
        <f>30.68*1.08</f>
        <v>33.1344</v>
      </c>
      <c r="E109" s="34">
        <f>13.89*1.08</f>
        <v>15.0012</v>
      </c>
      <c r="F109" s="34">
        <f>68.8*1.08</f>
        <v>74.304</v>
      </c>
      <c r="G109" s="97">
        <f>530.555*1.08</f>
        <v>572.9994</v>
      </c>
      <c r="H109" s="34">
        <f>381.29*1.08</f>
        <v>411.79320000000007</v>
      </c>
      <c r="I109" s="34">
        <f>153.79*1.08</f>
        <v>166.0932</v>
      </c>
      <c r="J109" s="34">
        <f>1647*1.08</f>
        <v>1778.7600000000002</v>
      </c>
      <c r="K109" s="34">
        <f>1386.77*1.08</f>
        <v>1497.7116</v>
      </c>
      <c r="L109" s="34">
        <f>3.38*1.08</f>
        <v>3.6504000000000003</v>
      </c>
      <c r="M109" s="34">
        <f>8.26*1.08</f>
        <v>8.9208</v>
      </c>
      <c r="N109" s="34">
        <f>53.32*1.08</f>
        <v>57.58560000000001</v>
      </c>
      <c r="O109" s="34">
        <v>56.192</v>
      </c>
      <c r="P109" s="9">
        <f t="shared" si="9"/>
        <v>4676.145800000001</v>
      </c>
    </row>
    <row r="110" spans="1:16" ht="19.5" customHeight="1">
      <c r="A110" s="45" t="s">
        <v>0</v>
      </c>
      <c r="B110" s="382" t="s">
        <v>169</v>
      </c>
      <c r="C110" s="54" t="s">
        <v>16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8"/>
    </row>
    <row r="111" spans="1:16" ht="19.5" customHeight="1">
      <c r="A111" s="45"/>
      <c r="B111" s="383"/>
      <c r="C111" s="48" t="s">
        <v>18</v>
      </c>
      <c r="D111" s="34"/>
      <c r="E111" s="34"/>
      <c r="F111" s="34"/>
      <c r="G111" s="97"/>
      <c r="H111" s="34"/>
      <c r="I111" s="34"/>
      <c r="J111" s="34"/>
      <c r="K111" s="34"/>
      <c r="L111" s="34"/>
      <c r="M111" s="34"/>
      <c r="N111" s="34"/>
      <c r="O111" s="34"/>
      <c r="P111" s="9"/>
    </row>
    <row r="112" spans="1:16" ht="19.5" customHeight="1">
      <c r="A112" s="45" t="s">
        <v>67</v>
      </c>
      <c r="B112" s="382" t="s">
        <v>189</v>
      </c>
      <c r="C112" s="54" t="s">
        <v>16</v>
      </c>
      <c r="D112" s="5">
        <v>0.0047</v>
      </c>
      <c r="E112" s="5"/>
      <c r="F112" s="5"/>
      <c r="G112" s="5">
        <v>0.3088</v>
      </c>
      <c r="H112" s="5">
        <v>0.8048</v>
      </c>
      <c r="I112" s="5">
        <v>0.1228</v>
      </c>
      <c r="J112" s="5">
        <v>0.1025</v>
      </c>
      <c r="K112" s="5">
        <v>0.037</v>
      </c>
      <c r="L112" s="5">
        <v>0.0916</v>
      </c>
      <c r="M112" s="5">
        <v>0.2479</v>
      </c>
      <c r="N112" s="5">
        <v>0.2131</v>
      </c>
      <c r="O112" s="5">
        <v>0.2509</v>
      </c>
      <c r="P112" s="8">
        <f t="shared" si="9"/>
        <v>2.1841</v>
      </c>
    </row>
    <row r="113" spans="1:16" ht="19.5" customHeight="1">
      <c r="A113" s="45"/>
      <c r="B113" s="383"/>
      <c r="C113" s="48" t="s">
        <v>18</v>
      </c>
      <c r="D113" s="34">
        <f>2.35*1.08</f>
        <v>2.5380000000000003</v>
      </c>
      <c r="E113" s="34"/>
      <c r="F113" s="34"/>
      <c r="G113" s="97">
        <f>491.97*1.08</f>
        <v>531.3276000000001</v>
      </c>
      <c r="H113" s="34">
        <f>1131.53*1.08</f>
        <v>1222.0524</v>
      </c>
      <c r="I113" s="34">
        <f>202.11*1.08</f>
        <v>218.27880000000002</v>
      </c>
      <c r="J113" s="34">
        <f>102.5*1.08</f>
        <v>110.7</v>
      </c>
      <c r="K113" s="34">
        <f>47.52*1.08</f>
        <v>51.321600000000004</v>
      </c>
      <c r="L113" s="34">
        <f>54.92*1.08</f>
        <v>59.31360000000001</v>
      </c>
      <c r="M113" s="34">
        <f>150.97*1.08</f>
        <v>163.04760000000002</v>
      </c>
      <c r="N113" s="34">
        <f>106.55*1.08</f>
        <v>115.074</v>
      </c>
      <c r="O113" s="34">
        <v>149.839</v>
      </c>
      <c r="P113" s="9">
        <f t="shared" si="9"/>
        <v>2623.4926</v>
      </c>
    </row>
    <row r="114" spans="1:16" ht="19.5" customHeight="1">
      <c r="A114" s="45"/>
      <c r="B114" s="382" t="s">
        <v>171</v>
      </c>
      <c r="C114" s="54" t="s">
        <v>16</v>
      </c>
      <c r="D114" s="5">
        <v>0.386</v>
      </c>
      <c r="E114" s="5">
        <v>0.0613</v>
      </c>
      <c r="F114" s="5">
        <v>0.0009</v>
      </c>
      <c r="G114" s="5">
        <v>0.41194</v>
      </c>
      <c r="H114" s="5">
        <v>6.4933</v>
      </c>
      <c r="I114" s="5">
        <v>7.4526</v>
      </c>
      <c r="J114" s="5">
        <v>7.3805</v>
      </c>
      <c r="K114" s="5">
        <v>5.1389</v>
      </c>
      <c r="L114" s="5">
        <v>7.8707</v>
      </c>
      <c r="M114" s="5">
        <v>9.8997</v>
      </c>
      <c r="N114" s="5">
        <v>5.9273</v>
      </c>
      <c r="O114" s="5">
        <v>3.9329</v>
      </c>
      <c r="P114" s="8">
        <f t="shared" si="9"/>
        <v>54.95604</v>
      </c>
    </row>
    <row r="115" spans="1:16" ht="19.5" customHeight="1">
      <c r="A115" s="45"/>
      <c r="B115" s="383"/>
      <c r="C115" s="48" t="s">
        <v>18</v>
      </c>
      <c r="D115" s="34">
        <f>118.165*1.08</f>
        <v>127.61820000000002</v>
      </c>
      <c r="E115" s="34">
        <f>21.08*1.08</f>
        <v>22.7664</v>
      </c>
      <c r="F115" s="34">
        <f>0.72*1.08</f>
        <v>0.7776000000000001</v>
      </c>
      <c r="G115" s="4">
        <f>437.534*1.08</f>
        <v>472.53672</v>
      </c>
      <c r="H115" s="34">
        <f>4932.61*1.08</f>
        <v>5327.2188</v>
      </c>
      <c r="I115" s="34">
        <f>3425.76*1.08</f>
        <v>3699.8208000000004</v>
      </c>
      <c r="J115" s="34">
        <f>3201.71*1.08</f>
        <v>3457.8468000000003</v>
      </c>
      <c r="K115" s="34">
        <f>1606.35*1.08</f>
        <v>1734.858</v>
      </c>
      <c r="L115" s="34">
        <f>2449.18*1.08</f>
        <v>2645.1144</v>
      </c>
      <c r="M115" s="34">
        <f>4264.56*1.08</f>
        <v>4605.724800000001</v>
      </c>
      <c r="N115" s="34">
        <f>3786.485*1.08</f>
        <v>4089.4038000000005</v>
      </c>
      <c r="O115" s="34">
        <v>3005.517</v>
      </c>
      <c r="P115" s="9">
        <f t="shared" si="9"/>
        <v>29189.203319999997</v>
      </c>
    </row>
    <row r="116" spans="1:16" ht="19.5" customHeight="1">
      <c r="A116" s="45" t="s">
        <v>68</v>
      </c>
      <c r="B116" s="382" t="s">
        <v>190</v>
      </c>
      <c r="C116" s="54" t="s">
        <v>16</v>
      </c>
      <c r="D116" s="5"/>
      <c r="E116" s="5"/>
      <c r="F116" s="5"/>
      <c r="G116" s="83"/>
      <c r="H116" s="5"/>
      <c r="I116" s="5"/>
      <c r="J116" s="5"/>
      <c r="K116" s="5"/>
      <c r="L116" s="5"/>
      <c r="M116" s="5"/>
      <c r="N116" s="5"/>
      <c r="O116" s="5"/>
      <c r="P116" s="8"/>
    </row>
    <row r="117" spans="1:16" ht="19.5" customHeight="1">
      <c r="A117" s="45"/>
      <c r="B117" s="383"/>
      <c r="C117" s="48" t="s">
        <v>18</v>
      </c>
      <c r="D117" s="34"/>
      <c r="E117" s="34"/>
      <c r="F117" s="34"/>
      <c r="G117" s="86"/>
      <c r="H117" s="34"/>
      <c r="I117" s="34"/>
      <c r="J117" s="34"/>
      <c r="K117" s="34"/>
      <c r="L117" s="34"/>
      <c r="M117" s="34"/>
      <c r="N117" s="34"/>
      <c r="O117" s="34"/>
      <c r="P117" s="9"/>
    </row>
    <row r="118" spans="1:16" ht="19.5" customHeight="1">
      <c r="A118" s="45"/>
      <c r="B118" s="382" t="s">
        <v>191</v>
      </c>
      <c r="C118" s="54" t="s">
        <v>16</v>
      </c>
      <c r="D118" s="5">
        <v>0.2551</v>
      </c>
      <c r="E118" s="5">
        <v>0.008</v>
      </c>
      <c r="F118" s="5"/>
      <c r="G118" s="5"/>
      <c r="H118" s="5"/>
      <c r="I118" s="5"/>
      <c r="J118" s="5"/>
      <c r="K118" s="5"/>
      <c r="L118" s="5"/>
      <c r="M118" s="5"/>
      <c r="N118" s="5">
        <v>0.3057</v>
      </c>
      <c r="O118" s="5">
        <v>0.0584</v>
      </c>
      <c r="P118" s="8">
        <f t="shared" si="9"/>
        <v>0.6272</v>
      </c>
    </row>
    <row r="119" spans="1:16" ht="19.5" customHeight="1">
      <c r="A119" s="45"/>
      <c r="B119" s="383"/>
      <c r="C119" s="48" t="s">
        <v>18</v>
      </c>
      <c r="D119" s="34">
        <f>485.709*1.08</f>
        <v>524.56572</v>
      </c>
      <c r="E119" s="34">
        <f>15.232*1.08</f>
        <v>16.45056</v>
      </c>
      <c r="F119" s="34"/>
      <c r="G119" s="97"/>
      <c r="H119" s="34"/>
      <c r="I119" s="34"/>
      <c r="J119" s="34"/>
      <c r="K119" s="34"/>
      <c r="L119" s="34"/>
      <c r="M119" s="34"/>
      <c r="N119" s="34">
        <f>566.156*1.08</f>
        <v>611.44848</v>
      </c>
      <c r="O119" s="34">
        <v>83.651</v>
      </c>
      <c r="P119" s="9">
        <f t="shared" si="9"/>
        <v>1236.1157600000001</v>
      </c>
    </row>
    <row r="120" spans="1:16" ht="19.5" customHeight="1">
      <c r="A120" s="45" t="s">
        <v>70</v>
      </c>
      <c r="B120" s="382" t="s">
        <v>192</v>
      </c>
      <c r="C120" s="54" t="s">
        <v>16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8"/>
    </row>
    <row r="121" spans="1:16" ht="19.5" customHeight="1">
      <c r="A121" s="45"/>
      <c r="B121" s="383"/>
      <c r="C121" s="48" t="s">
        <v>18</v>
      </c>
      <c r="D121" s="34"/>
      <c r="E121" s="34"/>
      <c r="F121" s="34"/>
      <c r="G121" s="156"/>
      <c r="H121" s="97"/>
      <c r="I121" s="34"/>
      <c r="J121" s="34"/>
      <c r="K121" s="34"/>
      <c r="L121" s="34"/>
      <c r="M121" s="34"/>
      <c r="N121" s="34"/>
      <c r="O121" s="34"/>
      <c r="P121" s="9"/>
    </row>
    <row r="122" spans="1:16" ht="19.5" customHeight="1">
      <c r="A122" s="45"/>
      <c r="B122" s="382" t="s">
        <v>175</v>
      </c>
      <c r="C122" s="54" t="s">
        <v>16</v>
      </c>
      <c r="D122" s="5"/>
      <c r="E122" s="5"/>
      <c r="F122" s="5">
        <v>0.0605</v>
      </c>
      <c r="G122" s="5">
        <v>0.271</v>
      </c>
      <c r="H122" s="5">
        <v>0.1135</v>
      </c>
      <c r="I122" s="5">
        <v>0.0366</v>
      </c>
      <c r="J122" s="5"/>
      <c r="K122" s="5"/>
      <c r="L122" s="5">
        <v>0.003</v>
      </c>
      <c r="M122" s="5">
        <v>0.002</v>
      </c>
      <c r="N122" s="5">
        <v>0.0062</v>
      </c>
      <c r="O122" s="5"/>
      <c r="P122" s="8">
        <f t="shared" si="9"/>
        <v>0.4928</v>
      </c>
    </row>
    <row r="123" spans="1:16" ht="19.5" customHeight="1">
      <c r="A123" s="45"/>
      <c r="B123" s="383"/>
      <c r="C123" s="48" t="s">
        <v>18</v>
      </c>
      <c r="D123" s="34"/>
      <c r="E123" s="34"/>
      <c r="F123" s="34">
        <f>30.25*1.08</f>
        <v>32.67</v>
      </c>
      <c r="G123" s="97">
        <f>162.6*1.08</f>
        <v>175.608</v>
      </c>
      <c r="H123" s="34">
        <f>61.075*1.08</f>
        <v>65.96100000000001</v>
      </c>
      <c r="I123" s="34">
        <f>9.15*1.08</f>
        <v>9.882000000000001</v>
      </c>
      <c r="J123" s="34"/>
      <c r="K123" s="34"/>
      <c r="L123" s="34">
        <f>2.4*1.08</f>
        <v>2.592</v>
      </c>
      <c r="M123" s="34">
        <f>1.6*1.08</f>
        <v>1.7280000000000002</v>
      </c>
      <c r="N123" s="34">
        <f>4.96*1.08</f>
        <v>5.356800000000001</v>
      </c>
      <c r="O123" s="34"/>
      <c r="P123" s="9">
        <f t="shared" si="9"/>
        <v>293.79780000000005</v>
      </c>
    </row>
    <row r="124" spans="1:16" ht="19.5" customHeight="1">
      <c r="A124" s="45" t="s">
        <v>23</v>
      </c>
      <c r="B124" s="382" t="s">
        <v>193</v>
      </c>
      <c r="C124" s="54" t="s">
        <v>16</v>
      </c>
      <c r="D124" s="5">
        <v>1.2413</v>
      </c>
      <c r="E124" s="5">
        <v>0.6221</v>
      </c>
      <c r="F124" s="5">
        <v>0.3332</v>
      </c>
      <c r="G124" s="5">
        <v>0.3049</v>
      </c>
      <c r="H124" s="5">
        <v>3.3855</v>
      </c>
      <c r="I124" s="5">
        <v>2.4386</v>
      </c>
      <c r="J124" s="5">
        <v>1.809</v>
      </c>
      <c r="K124" s="5">
        <v>0.0075</v>
      </c>
      <c r="L124" s="5">
        <v>0.0034</v>
      </c>
      <c r="M124" s="5"/>
      <c r="N124" s="5">
        <v>0.0316</v>
      </c>
      <c r="O124" s="5">
        <v>0.3751</v>
      </c>
      <c r="P124" s="8">
        <f t="shared" si="9"/>
        <v>10.5522</v>
      </c>
    </row>
    <row r="125" spans="1:16" ht="19.5" customHeight="1">
      <c r="A125" s="45"/>
      <c r="B125" s="383"/>
      <c r="C125" s="48" t="s">
        <v>18</v>
      </c>
      <c r="D125" s="34">
        <f>4607.108*1.08</f>
        <v>4975.676640000001</v>
      </c>
      <c r="E125" s="34">
        <f>854.73*1.08</f>
        <v>923.1084000000001</v>
      </c>
      <c r="F125" s="34">
        <f>135.28*1.08</f>
        <v>146.10240000000002</v>
      </c>
      <c r="G125" s="97">
        <f>123.865*1.08</f>
        <v>133.7742</v>
      </c>
      <c r="H125" s="34">
        <f>24137.888*1.08</f>
        <v>26068.91904</v>
      </c>
      <c r="I125" s="34">
        <f>17190.168*1.08</f>
        <v>18565.38144</v>
      </c>
      <c r="J125" s="34">
        <f>12204.315*1.08</f>
        <v>13180.660200000002</v>
      </c>
      <c r="K125" s="34">
        <f>9.75*1.08</f>
        <v>10.530000000000001</v>
      </c>
      <c r="L125" s="34">
        <f>2.72*1.08</f>
        <v>2.9376</v>
      </c>
      <c r="M125" s="34"/>
      <c r="N125" s="34">
        <f>15.04*1.08</f>
        <v>16.2432</v>
      </c>
      <c r="O125" s="34">
        <v>2477.22</v>
      </c>
      <c r="P125" s="9">
        <f t="shared" si="9"/>
        <v>66500.55311999998</v>
      </c>
    </row>
    <row r="126" spans="1:16" ht="19.5" customHeight="1">
      <c r="A126" s="45"/>
      <c r="B126" s="47" t="s">
        <v>20</v>
      </c>
      <c r="C126" s="54" t="s">
        <v>16</v>
      </c>
      <c r="D126" s="5"/>
      <c r="E126" s="5"/>
      <c r="F126" s="5"/>
      <c r="G126" s="5"/>
      <c r="H126" s="5">
        <v>0.8305</v>
      </c>
      <c r="I126" s="5">
        <v>2.6994</v>
      </c>
      <c r="J126" s="5">
        <v>3.9555</v>
      </c>
      <c r="K126" s="5">
        <v>0.4204</v>
      </c>
      <c r="L126" s="5"/>
      <c r="M126" s="5"/>
      <c r="N126" s="5"/>
      <c r="O126" s="5"/>
      <c r="P126" s="8">
        <f t="shared" si="9"/>
        <v>7.905799999999999</v>
      </c>
    </row>
    <row r="127" spans="1:16" ht="19.5" customHeight="1">
      <c r="A127" s="45"/>
      <c r="B127" s="48" t="s">
        <v>73</v>
      </c>
      <c r="C127" s="48" t="s">
        <v>18</v>
      </c>
      <c r="D127" s="34"/>
      <c r="E127" s="34"/>
      <c r="F127" s="34"/>
      <c r="G127" s="34"/>
      <c r="H127" s="34">
        <f>1245.75*1.08</f>
        <v>1345.41</v>
      </c>
      <c r="I127" s="34">
        <f>4049.1*1.08</f>
        <v>4373.028</v>
      </c>
      <c r="J127" s="34">
        <f>5564.25*1.08</f>
        <v>6009.39</v>
      </c>
      <c r="K127" s="34">
        <f>432.82*1.08</f>
        <v>467.4456</v>
      </c>
      <c r="L127" s="34"/>
      <c r="M127" s="34"/>
      <c r="N127" s="34"/>
      <c r="O127" s="34"/>
      <c r="P127" s="9">
        <f t="shared" si="9"/>
        <v>12195.2736</v>
      </c>
    </row>
    <row r="128" spans="1:16" s="78" customFormat="1" ht="19.5" customHeight="1">
      <c r="A128" s="95"/>
      <c r="B128" s="380" t="s">
        <v>194</v>
      </c>
      <c r="C128" s="62" t="s">
        <v>16</v>
      </c>
      <c r="D128" s="5">
        <f aca="true" t="shared" si="10" ref="D128:H129">+D106+D108+D110+D112+D114+D116+D118+D120+D122+D124+D126</f>
        <v>1.9488</v>
      </c>
      <c r="E128" s="5">
        <f t="shared" si="10"/>
        <v>0.7158</v>
      </c>
      <c r="F128" s="5">
        <f>+F106+F108+F110+F112+F114+F116+F118+F120+F122+F124+F126</f>
        <v>0.5157</v>
      </c>
      <c r="G128" s="5">
        <f t="shared" si="10"/>
        <v>2.14474</v>
      </c>
      <c r="H128" s="5">
        <f t="shared" si="10"/>
        <v>12.3657</v>
      </c>
      <c r="I128" s="5">
        <f aca="true" t="shared" si="11" ref="I128:O129">+I106+I108+I110+I112+I114+I116+I118+I120+I122+I124+I126</f>
        <v>13.075700000000001</v>
      </c>
      <c r="J128" s="5">
        <f t="shared" si="11"/>
        <v>16.587799999999998</v>
      </c>
      <c r="K128" s="83">
        <f t="shared" si="11"/>
        <v>8.183</v>
      </c>
      <c r="L128" s="83">
        <f t="shared" si="11"/>
        <v>7.9762</v>
      </c>
      <c r="M128" s="83">
        <f t="shared" si="11"/>
        <v>10.1645</v>
      </c>
      <c r="N128" s="83">
        <f t="shared" si="11"/>
        <v>6.5729</v>
      </c>
      <c r="O128" s="5">
        <f t="shared" si="11"/>
        <v>4.7082999999999995</v>
      </c>
      <c r="P128" s="15">
        <f t="shared" si="9"/>
        <v>84.95913999999999</v>
      </c>
    </row>
    <row r="129" spans="1:16" s="78" customFormat="1" ht="19.5" customHeight="1">
      <c r="A129" s="96"/>
      <c r="B129" s="381"/>
      <c r="C129" s="91" t="s">
        <v>18</v>
      </c>
      <c r="D129" s="34">
        <f t="shared" si="10"/>
        <v>5663.5329600000005</v>
      </c>
      <c r="E129" s="34">
        <f t="shared" si="10"/>
        <v>977.3265600000001</v>
      </c>
      <c r="F129" s="34">
        <f>+F107+F109+F111+F113+F115+F117+F119+F121+F123+F125+F127</f>
        <v>253.85400000000004</v>
      </c>
      <c r="G129" s="34">
        <f t="shared" si="10"/>
        <v>1886.2459200000003</v>
      </c>
      <c r="H129" s="34">
        <f t="shared" si="10"/>
        <v>34441.35444</v>
      </c>
      <c r="I129" s="34">
        <f t="shared" si="11"/>
        <v>27032.484239999998</v>
      </c>
      <c r="J129" s="34">
        <f t="shared" si="11"/>
        <v>24537.357000000004</v>
      </c>
      <c r="K129" s="34">
        <f t="shared" si="11"/>
        <v>3761.8668000000002</v>
      </c>
      <c r="L129" s="34">
        <f t="shared" si="11"/>
        <v>2713.608</v>
      </c>
      <c r="M129" s="34">
        <f t="shared" si="11"/>
        <v>4779.421200000001</v>
      </c>
      <c r="N129" s="34">
        <f t="shared" si="11"/>
        <v>4895.11188</v>
      </c>
      <c r="O129" s="34">
        <f t="shared" si="11"/>
        <v>5772.419</v>
      </c>
      <c r="P129" s="92">
        <f t="shared" si="9"/>
        <v>116714.582</v>
      </c>
    </row>
    <row r="130" spans="1:16" ht="19.5" customHeight="1">
      <c r="A130" s="45" t="s">
        <v>0</v>
      </c>
      <c r="B130" s="382" t="s">
        <v>74</v>
      </c>
      <c r="C130" s="54" t="s">
        <v>16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8"/>
    </row>
    <row r="131" spans="1:16" ht="19.5" customHeight="1">
      <c r="A131" s="45" t="s">
        <v>0</v>
      </c>
      <c r="B131" s="383"/>
      <c r="C131" s="48" t="s">
        <v>18</v>
      </c>
      <c r="D131" s="34"/>
      <c r="E131" s="34"/>
      <c r="F131" s="34"/>
      <c r="G131" s="97"/>
      <c r="H131" s="34"/>
      <c r="I131" s="34"/>
      <c r="J131" s="34"/>
      <c r="K131" s="34"/>
      <c r="L131" s="34"/>
      <c r="M131" s="34"/>
      <c r="N131" s="34"/>
      <c r="O131" s="34"/>
      <c r="P131" s="9"/>
    </row>
    <row r="132" spans="1:16" ht="19.5" customHeight="1">
      <c r="A132" s="45" t="s">
        <v>75</v>
      </c>
      <c r="B132" s="382" t="s">
        <v>76</v>
      </c>
      <c r="C132" s="54" t="s">
        <v>16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8"/>
    </row>
    <row r="133" spans="1:16" ht="19.5" customHeight="1">
      <c r="A133" s="45"/>
      <c r="B133" s="383"/>
      <c r="C133" s="48" t="s">
        <v>18</v>
      </c>
      <c r="D133" s="34"/>
      <c r="E133" s="34"/>
      <c r="F133" s="34"/>
      <c r="G133" s="97"/>
      <c r="H133" s="34"/>
      <c r="I133" s="34"/>
      <c r="J133" s="34"/>
      <c r="K133" s="34"/>
      <c r="L133" s="34"/>
      <c r="M133" s="34"/>
      <c r="N133" s="34"/>
      <c r="O133" s="34"/>
      <c r="P133" s="9"/>
    </row>
    <row r="134" spans="1:16" ht="19.5" customHeight="1">
      <c r="A134" s="45" t="s">
        <v>77</v>
      </c>
      <c r="B134" s="47" t="s">
        <v>20</v>
      </c>
      <c r="C134" s="140" t="s">
        <v>16</v>
      </c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4"/>
    </row>
    <row r="135" spans="1:16" ht="19.5" customHeight="1">
      <c r="A135" s="45"/>
      <c r="B135" s="47" t="s">
        <v>178</v>
      </c>
      <c r="C135" s="54" t="s">
        <v>79</v>
      </c>
      <c r="D135" s="84"/>
      <c r="E135" s="84"/>
      <c r="F135" s="84"/>
      <c r="G135" s="5"/>
      <c r="H135" s="84"/>
      <c r="I135" s="84"/>
      <c r="J135" s="84"/>
      <c r="K135" s="5"/>
      <c r="L135" s="5"/>
      <c r="M135" s="5"/>
      <c r="N135" s="84"/>
      <c r="O135" s="84"/>
      <c r="P135" s="8"/>
    </row>
    <row r="136" spans="1:16" ht="19.5" customHeight="1">
      <c r="A136" s="45" t="s">
        <v>23</v>
      </c>
      <c r="B136" s="2"/>
      <c r="C136" s="48" t="s">
        <v>18</v>
      </c>
      <c r="D136" s="34"/>
      <c r="E136" s="34"/>
      <c r="F136" s="34"/>
      <c r="G136" s="97"/>
      <c r="H136" s="34"/>
      <c r="I136" s="34"/>
      <c r="J136" s="34"/>
      <c r="K136" s="34"/>
      <c r="L136" s="34"/>
      <c r="M136" s="34"/>
      <c r="N136" s="34"/>
      <c r="O136" s="34"/>
      <c r="P136" s="9"/>
    </row>
    <row r="137" spans="1:16" s="78" customFormat="1" ht="19.5" customHeight="1">
      <c r="A137" s="57"/>
      <c r="B137" s="93" t="s">
        <v>0</v>
      </c>
      <c r="C137" s="198" t="s">
        <v>16</v>
      </c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200"/>
    </row>
    <row r="138" spans="1:16" s="78" customFormat="1" ht="19.5" customHeight="1">
      <c r="A138" s="57"/>
      <c r="B138" s="94" t="s">
        <v>195</v>
      </c>
      <c r="C138" s="62" t="s">
        <v>79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15"/>
    </row>
    <row r="139" spans="1:16" s="78" customFormat="1" ht="19.5" customHeight="1">
      <c r="A139" s="90"/>
      <c r="B139" s="34"/>
      <c r="C139" s="91" t="s">
        <v>18</v>
      </c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92"/>
    </row>
    <row r="140" spans="1:16" s="78" customFormat="1" ht="19.5" customHeight="1">
      <c r="A140" s="57"/>
      <c r="B140" s="58" t="s">
        <v>0</v>
      </c>
      <c r="C140" s="198" t="s">
        <v>16</v>
      </c>
      <c r="D140" s="199">
        <f aca="true" t="shared" si="12" ref="D140:M140">D137+D128+D104</f>
        <v>38.6429</v>
      </c>
      <c r="E140" s="199">
        <f t="shared" si="12"/>
        <v>12.78753</v>
      </c>
      <c r="F140" s="199">
        <f>F137+F128+F104</f>
        <v>17.64458</v>
      </c>
      <c r="G140" s="199">
        <f t="shared" si="12"/>
        <v>35.7087</v>
      </c>
      <c r="H140" s="199">
        <f t="shared" si="12"/>
        <v>34.20616</v>
      </c>
      <c r="I140" s="199">
        <f t="shared" si="12"/>
        <v>81.99295</v>
      </c>
      <c r="J140" s="199">
        <f t="shared" si="12"/>
        <v>97.68563000000002</v>
      </c>
      <c r="K140" s="199">
        <f t="shared" si="12"/>
        <v>31.9833</v>
      </c>
      <c r="L140" s="199">
        <f t="shared" si="12"/>
        <v>23.692</v>
      </c>
      <c r="M140" s="199">
        <f t="shared" si="12"/>
        <v>35.109970000000004</v>
      </c>
      <c r="N140" s="199">
        <f>N137+N128+N104</f>
        <v>36.1575</v>
      </c>
      <c r="O140" s="199">
        <f>O137+O128+O104</f>
        <v>39.25685</v>
      </c>
      <c r="P140" s="200">
        <f>SUM(D140:O140)</f>
        <v>484.86807</v>
      </c>
    </row>
    <row r="141" spans="1:16" s="78" customFormat="1" ht="19.5" customHeight="1">
      <c r="A141" s="57"/>
      <c r="B141" s="61" t="s">
        <v>131</v>
      </c>
      <c r="C141" s="62" t="s">
        <v>79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15"/>
    </row>
    <row r="142" spans="1:16" s="78" customFormat="1" ht="19.5" customHeight="1" thickBot="1">
      <c r="A142" s="63"/>
      <c r="B142" s="64"/>
      <c r="C142" s="65" t="s">
        <v>18</v>
      </c>
      <c r="D142" s="6">
        <f aca="true" t="shared" si="13" ref="D142:M142">D139+D129+D105</f>
        <v>15280.749360000002</v>
      </c>
      <c r="E142" s="6">
        <f t="shared" si="13"/>
        <v>12773.52612</v>
      </c>
      <c r="F142" s="6">
        <f>F139+F129+F105</f>
        <v>20445.39468</v>
      </c>
      <c r="G142" s="6">
        <f t="shared" si="13"/>
        <v>27550.438200000004</v>
      </c>
      <c r="H142" s="6">
        <f t="shared" si="13"/>
        <v>49863.27384000001</v>
      </c>
      <c r="I142" s="6">
        <f t="shared" si="13"/>
        <v>54282.48048</v>
      </c>
      <c r="J142" s="6">
        <f t="shared" si="13"/>
        <v>65561.59548000002</v>
      </c>
      <c r="K142" s="6">
        <f t="shared" si="13"/>
        <v>26642.294280000002</v>
      </c>
      <c r="L142" s="6">
        <f t="shared" si="13"/>
        <v>18072.57852</v>
      </c>
      <c r="M142" s="6">
        <f t="shared" si="13"/>
        <v>26083.995840000003</v>
      </c>
      <c r="N142" s="6">
        <f>N139+N129+N105</f>
        <v>26580.923280000003</v>
      </c>
      <c r="O142" s="6">
        <f>O139+O129+O105</f>
        <v>30984.279000000002</v>
      </c>
      <c r="P142" s="7">
        <f>SUM(D142:O142)</f>
        <v>374121.52908</v>
      </c>
    </row>
    <row r="143" spans="15:16" ht="18.75">
      <c r="O143" s="85"/>
      <c r="P143" s="67" t="s">
        <v>92</v>
      </c>
    </row>
    <row r="144" spans="9:16" ht="18.75">
      <c r="I144" s="24"/>
      <c r="J144" s="24"/>
      <c r="P144" s="24"/>
    </row>
    <row r="145" ht="18.75">
      <c r="D145" s="98"/>
    </row>
    <row r="146" spans="4:5" ht="18.75">
      <c r="D146" s="98"/>
      <c r="E146" s="98"/>
    </row>
    <row r="147" spans="4:5" ht="18.75">
      <c r="D147" s="4"/>
      <c r="E147" s="98"/>
    </row>
    <row r="148" spans="4:5" ht="18.75">
      <c r="D148" s="24"/>
      <c r="E148" s="98"/>
    </row>
    <row r="150" ht="18.75">
      <c r="N150" s="24"/>
    </row>
    <row r="151" ht="18.75">
      <c r="N151" s="24"/>
    </row>
    <row r="152" ht="18.75">
      <c r="N152" s="24"/>
    </row>
  </sheetData>
  <sheetProtection/>
  <mergeCells count="52">
    <mergeCell ref="A1:P1"/>
    <mergeCell ref="B5:B6"/>
    <mergeCell ref="B9:B10"/>
    <mergeCell ref="A11:B12"/>
    <mergeCell ref="B13:B14"/>
    <mergeCell ref="B31:B32"/>
    <mergeCell ref="B33:B34"/>
    <mergeCell ref="B15:B16"/>
    <mergeCell ref="B17:B18"/>
    <mergeCell ref="B21:B22"/>
    <mergeCell ref="B23:B24"/>
    <mergeCell ref="B25:B26"/>
    <mergeCell ref="B29:B30"/>
    <mergeCell ref="B37:B38"/>
    <mergeCell ref="A39:B40"/>
    <mergeCell ref="A41:B42"/>
    <mergeCell ref="A43:B44"/>
    <mergeCell ref="A45:B46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B88:B89"/>
    <mergeCell ref="A90:B91"/>
    <mergeCell ref="A92:B93"/>
    <mergeCell ref="A94:B95"/>
    <mergeCell ref="A96:B97"/>
    <mergeCell ref="B130:B131"/>
    <mergeCell ref="A98:B99"/>
    <mergeCell ref="A100:B101"/>
    <mergeCell ref="A102:B103"/>
    <mergeCell ref="A104:B105"/>
    <mergeCell ref="B106:B107"/>
    <mergeCell ref="B108:B109"/>
    <mergeCell ref="B132:B133"/>
    <mergeCell ref="B118:B119"/>
    <mergeCell ref="B120:B121"/>
    <mergeCell ref="B122:B123"/>
    <mergeCell ref="B124:B125"/>
    <mergeCell ref="B110:B111"/>
    <mergeCell ref="B112:B113"/>
    <mergeCell ref="B114:B115"/>
    <mergeCell ref="B116:B117"/>
    <mergeCell ref="B128:B129"/>
  </mergeCells>
  <printOptions/>
  <pageMargins left="0.7" right="0.7" top="0.75" bottom="0.75" header="0.3" footer="0.3"/>
  <pageSetup firstPageNumber="45" useFirstPageNumber="1" fitToHeight="2" fitToWidth="1" horizontalDpi="600" verticalDpi="600" orientation="landscape" paperSize="9" scale="36" r:id="rId1"/>
  <rowBreaks count="1" manualBreakCount="1">
    <brk id="7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8"/>
  <sheetViews>
    <sheetView zoomScale="50" zoomScaleNormal="50" zoomScalePageLayoutView="0" workbookViewId="0" topLeftCell="A1">
      <pane xSplit="3" ySplit="4" topLeftCell="D5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4" width="22.625" style="11" customWidth="1"/>
    <col min="5" max="15" width="22.625" style="70" customWidth="1"/>
    <col min="16" max="16" width="25.625" style="171" customWidth="1"/>
    <col min="17" max="16384" width="9.00390625" style="75" customWidth="1"/>
  </cols>
  <sheetData>
    <row r="1" spans="1:16" s="76" customFormat="1" ht="30.75" customHeight="1">
      <c r="A1" s="70"/>
      <c r="B1" s="58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171"/>
    </row>
    <row r="2" spans="1:16" s="76" customFormat="1" ht="30.75" customHeight="1">
      <c r="A2" s="70"/>
      <c r="B2" s="58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71"/>
    </row>
    <row r="3" spans="1:16" s="76" customFormat="1" ht="19.5" customHeight="1" thickBot="1">
      <c r="A3" s="64" t="s">
        <v>85</v>
      </c>
      <c r="B3" s="174"/>
      <c r="C3" s="64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64" t="s">
        <v>90</v>
      </c>
      <c r="P3" s="171"/>
    </row>
    <row r="4" spans="1:16" s="76" customFormat="1" ht="19.5" customHeight="1">
      <c r="A4" s="96"/>
      <c r="B4" s="175"/>
      <c r="C4" s="175"/>
      <c r="D4" s="82" t="s">
        <v>89</v>
      </c>
      <c r="E4" s="82" t="s">
        <v>3</v>
      </c>
      <c r="F4" s="82" t="s">
        <v>4</v>
      </c>
      <c r="G4" s="82" t="s">
        <v>5</v>
      </c>
      <c r="H4" s="82" t="s">
        <v>6</v>
      </c>
      <c r="I4" s="82" t="s">
        <v>7</v>
      </c>
      <c r="J4" s="82" t="s">
        <v>8</v>
      </c>
      <c r="K4" s="82" t="s">
        <v>9</v>
      </c>
      <c r="L4" s="82" t="s">
        <v>10</v>
      </c>
      <c r="M4" s="82" t="s">
        <v>11</v>
      </c>
      <c r="N4" s="82" t="s">
        <v>12</v>
      </c>
      <c r="O4" s="82" t="s">
        <v>13</v>
      </c>
      <c r="P4" s="172" t="s">
        <v>14</v>
      </c>
    </row>
    <row r="5" spans="1:16" s="76" customFormat="1" ht="19.5" customHeight="1">
      <c r="A5" s="89" t="s">
        <v>0</v>
      </c>
      <c r="B5" s="394" t="s">
        <v>15</v>
      </c>
      <c r="C5" s="62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5"/>
    </row>
    <row r="6" spans="1:16" s="76" customFormat="1" ht="19.5" customHeight="1">
      <c r="A6" s="95" t="s">
        <v>17</v>
      </c>
      <c r="B6" s="395"/>
      <c r="C6" s="91" t="s">
        <v>18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92"/>
    </row>
    <row r="7" spans="1:16" s="76" customFormat="1" ht="19.5" customHeight="1">
      <c r="A7" s="95" t="s">
        <v>19</v>
      </c>
      <c r="B7" s="59" t="s">
        <v>20</v>
      </c>
      <c r="C7" s="62" t="s">
        <v>16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5"/>
    </row>
    <row r="8" spans="1:16" s="76" customFormat="1" ht="19.5" customHeight="1">
      <c r="A8" s="95" t="s">
        <v>21</v>
      </c>
      <c r="B8" s="91" t="s">
        <v>153</v>
      </c>
      <c r="C8" s="91" t="s">
        <v>18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92"/>
    </row>
    <row r="9" spans="1:16" s="76" customFormat="1" ht="19.5" customHeight="1">
      <c r="A9" s="95" t="s">
        <v>23</v>
      </c>
      <c r="B9" s="388" t="s">
        <v>107</v>
      </c>
      <c r="C9" s="62" t="s">
        <v>16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5"/>
    </row>
    <row r="10" spans="1:16" s="76" customFormat="1" ht="19.5" customHeight="1">
      <c r="A10" s="90"/>
      <c r="B10" s="389"/>
      <c r="C10" s="91" t="s">
        <v>18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92"/>
    </row>
    <row r="11" spans="1:16" s="76" customFormat="1" ht="19.5" customHeight="1">
      <c r="A11" s="396" t="s">
        <v>25</v>
      </c>
      <c r="B11" s="397"/>
      <c r="C11" s="62" t="s">
        <v>16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5"/>
    </row>
    <row r="12" spans="1:16" s="76" customFormat="1" ht="19.5" customHeight="1">
      <c r="A12" s="398"/>
      <c r="B12" s="399"/>
      <c r="C12" s="91" t="s">
        <v>18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92"/>
    </row>
    <row r="13" spans="1:16" s="76" customFormat="1" ht="19.5" customHeight="1">
      <c r="A13" s="57"/>
      <c r="B13" s="394" t="s">
        <v>26</v>
      </c>
      <c r="C13" s="62" t="s">
        <v>16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5"/>
    </row>
    <row r="14" spans="1:16" s="76" customFormat="1" ht="19.5" customHeight="1">
      <c r="A14" s="89" t="s">
        <v>0</v>
      </c>
      <c r="B14" s="395"/>
      <c r="C14" s="91" t="s">
        <v>18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92"/>
    </row>
    <row r="15" spans="1:16" s="76" customFormat="1" ht="19.5" customHeight="1">
      <c r="A15" s="95" t="s">
        <v>27</v>
      </c>
      <c r="B15" s="394" t="s">
        <v>28</v>
      </c>
      <c r="C15" s="62" t="s">
        <v>16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5"/>
    </row>
    <row r="16" spans="1:16" s="76" customFormat="1" ht="19.5" customHeight="1">
      <c r="A16" s="95" t="s">
        <v>0</v>
      </c>
      <c r="B16" s="395"/>
      <c r="C16" s="91" t="s">
        <v>18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92"/>
    </row>
    <row r="17" spans="1:16" s="76" customFormat="1" ht="19.5" customHeight="1">
      <c r="A17" s="95" t="s">
        <v>29</v>
      </c>
      <c r="B17" s="394" t="s">
        <v>30</v>
      </c>
      <c r="C17" s="62" t="s">
        <v>16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5"/>
    </row>
    <row r="18" spans="1:16" s="76" customFormat="1" ht="19.5" customHeight="1">
      <c r="A18" s="95"/>
      <c r="B18" s="395"/>
      <c r="C18" s="91" t="s">
        <v>18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92"/>
    </row>
    <row r="19" spans="1:16" s="76" customFormat="1" ht="19.5" customHeight="1">
      <c r="A19" s="95" t="s">
        <v>31</v>
      </c>
      <c r="B19" s="59" t="s">
        <v>108</v>
      </c>
      <c r="C19" s="62" t="s">
        <v>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5"/>
    </row>
    <row r="20" spans="1:16" s="76" customFormat="1" ht="19.5" customHeight="1">
      <c r="A20" s="95"/>
      <c r="B20" s="91" t="s">
        <v>109</v>
      </c>
      <c r="C20" s="91" t="s">
        <v>18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92"/>
    </row>
    <row r="21" spans="1:16" s="76" customFormat="1" ht="19.5" customHeight="1">
      <c r="A21" s="95" t="s">
        <v>23</v>
      </c>
      <c r="B21" s="394" t="s">
        <v>32</v>
      </c>
      <c r="C21" s="62" t="s">
        <v>16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5"/>
    </row>
    <row r="22" spans="1:16" s="76" customFormat="1" ht="19.5" customHeight="1">
      <c r="A22" s="95"/>
      <c r="B22" s="395"/>
      <c r="C22" s="91" t="s">
        <v>18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92"/>
    </row>
    <row r="23" spans="1:16" s="76" customFormat="1" ht="19.5" customHeight="1">
      <c r="A23" s="57"/>
      <c r="B23" s="388" t="s">
        <v>107</v>
      </c>
      <c r="C23" s="62" t="s">
        <v>16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5"/>
    </row>
    <row r="24" spans="1:16" s="76" customFormat="1" ht="19.5" customHeight="1">
      <c r="A24" s="90"/>
      <c r="B24" s="389"/>
      <c r="C24" s="91" t="s">
        <v>18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92"/>
    </row>
    <row r="25" spans="1:16" s="76" customFormat="1" ht="19.5" customHeight="1">
      <c r="A25" s="89" t="s">
        <v>0</v>
      </c>
      <c r="B25" s="394" t="s">
        <v>33</v>
      </c>
      <c r="C25" s="62" t="s">
        <v>16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5"/>
    </row>
    <row r="26" spans="1:16" s="76" customFormat="1" ht="19.5" customHeight="1">
      <c r="A26" s="95" t="s">
        <v>34</v>
      </c>
      <c r="B26" s="395"/>
      <c r="C26" s="91" t="s">
        <v>18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92"/>
    </row>
    <row r="27" spans="1:16" s="76" customFormat="1" ht="19.5" customHeight="1">
      <c r="A27" s="95" t="s">
        <v>35</v>
      </c>
      <c r="B27" s="59" t="s">
        <v>20</v>
      </c>
      <c r="C27" s="62" t="s">
        <v>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5"/>
    </row>
    <row r="28" spans="1:16" s="76" customFormat="1" ht="19.5" customHeight="1">
      <c r="A28" s="95" t="s">
        <v>36</v>
      </c>
      <c r="B28" s="91" t="s">
        <v>162</v>
      </c>
      <c r="C28" s="91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92"/>
    </row>
    <row r="29" spans="1:16" s="76" customFormat="1" ht="19.5" customHeight="1">
      <c r="A29" s="95" t="s">
        <v>23</v>
      </c>
      <c r="B29" s="388" t="s">
        <v>114</v>
      </c>
      <c r="C29" s="6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5"/>
    </row>
    <row r="30" spans="1:16" s="76" customFormat="1" ht="19.5" customHeight="1">
      <c r="A30" s="90"/>
      <c r="B30" s="389"/>
      <c r="C30" s="91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92"/>
    </row>
    <row r="31" spans="1:16" s="76" customFormat="1" ht="19.5" customHeight="1">
      <c r="A31" s="89" t="s">
        <v>0</v>
      </c>
      <c r="B31" s="394" t="s">
        <v>37</v>
      </c>
      <c r="C31" s="62" t="s">
        <v>16</v>
      </c>
      <c r="D31" s="5">
        <v>1.218</v>
      </c>
      <c r="E31" s="5">
        <v>0.2702</v>
      </c>
      <c r="F31" s="5">
        <v>0.0982</v>
      </c>
      <c r="G31" s="5"/>
      <c r="H31" s="5"/>
      <c r="I31" s="5"/>
      <c r="J31" s="5"/>
      <c r="K31" s="5"/>
      <c r="L31" s="5"/>
      <c r="M31" s="5"/>
      <c r="N31" s="5"/>
      <c r="O31" s="5">
        <v>0.0358</v>
      </c>
      <c r="P31" s="15">
        <f>SUM(D31:O31)</f>
        <v>1.6222</v>
      </c>
    </row>
    <row r="32" spans="1:16" s="76" customFormat="1" ht="19.5" customHeight="1">
      <c r="A32" s="95" t="s">
        <v>38</v>
      </c>
      <c r="B32" s="395"/>
      <c r="C32" s="91" t="s">
        <v>18</v>
      </c>
      <c r="D32" s="34">
        <v>187.031</v>
      </c>
      <c r="E32" s="34">
        <v>42.27</v>
      </c>
      <c r="F32" s="34">
        <v>6.973</v>
      </c>
      <c r="G32" s="34"/>
      <c r="H32" s="34"/>
      <c r="I32" s="34"/>
      <c r="J32" s="34"/>
      <c r="K32" s="34"/>
      <c r="L32" s="34"/>
      <c r="M32" s="34"/>
      <c r="N32" s="34"/>
      <c r="O32" s="34">
        <v>7.69</v>
      </c>
      <c r="P32" s="92">
        <f>SUM(D32:O32)</f>
        <v>243.96400000000003</v>
      </c>
    </row>
    <row r="33" spans="1:16" s="76" customFormat="1" ht="19.5" customHeight="1">
      <c r="A33" s="95" t="s">
        <v>0</v>
      </c>
      <c r="B33" s="394" t="s">
        <v>39</v>
      </c>
      <c r="C33" s="62" t="s">
        <v>16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5"/>
    </row>
    <row r="34" spans="1:16" s="76" customFormat="1" ht="19.5" customHeight="1">
      <c r="A34" s="95" t="s">
        <v>40</v>
      </c>
      <c r="B34" s="395"/>
      <c r="C34" s="91" t="s">
        <v>18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92"/>
    </row>
    <row r="35" spans="1:16" s="76" customFormat="1" ht="19.5" customHeight="1">
      <c r="A35" s="95"/>
      <c r="B35" s="59" t="s">
        <v>20</v>
      </c>
      <c r="C35" s="62" t="s">
        <v>16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5"/>
    </row>
    <row r="36" spans="1:16" s="76" customFormat="1" ht="19.5" customHeight="1">
      <c r="A36" s="95" t="s">
        <v>23</v>
      </c>
      <c r="B36" s="91" t="s">
        <v>111</v>
      </c>
      <c r="C36" s="91" t="s">
        <v>18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92"/>
    </row>
    <row r="37" spans="1:16" s="76" customFormat="1" ht="19.5" customHeight="1">
      <c r="A37" s="57"/>
      <c r="B37" s="388" t="s">
        <v>114</v>
      </c>
      <c r="C37" s="62" t="s">
        <v>16</v>
      </c>
      <c r="D37" s="5">
        <f aca="true" t="shared" si="0" ref="D37:F38">+D31+D33+D35</f>
        <v>1.218</v>
      </c>
      <c r="E37" s="5">
        <f t="shared" si="0"/>
        <v>0.2702</v>
      </c>
      <c r="F37" s="5">
        <f t="shared" si="0"/>
        <v>0.0982</v>
      </c>
      <c r="G37" s="5"/>
      <c r="H37" s="5"/>
      <c r="I37" s="5"/>
      <c r="J37" s="5"/>
      <c r="K37" s="5"/>
      <c r="L37" s="5"/>
      <c r="M37" s="5"/>
      <c r="N37" s="5"/>
      <c r="O37" s="5">
        <f>+O31+O33+O35</f>
        <v>0.0358</v>
      </c>
      <c r="P37" s="15">
        <f aca="true" t="shared" si="1" ref="P37:P60">SUM(D37:O37)</f>
        <v>1.6222</v>
      </c>
    </row>
    <row r="38" spans="1:16" s="76" customFormat="1" ht="19.5" customHeight="1">
      <c r="A38" s="90"/>
      <c r="B38" s="389"/>
      <c r="C38" s="91" t="s">
        <v>18</v>
      </c>
      <c r="D38" s="34">
        <f t="shared" si="0"/>
        <v>187.031</v>
      </c>
      <c r="E38" s="34">
        <f t="shared" si="0"/>
        <v>42.27</v>
      </c>
      <c r="F38" s="34">
        <f t="shared" si="0"/>
        <v>6.973</v>
      </c>
      <c r="G38" s="34"/>
      <c r="H38" s="34"/>
      <c r="I38" s="34"/>
      <c r="J38" s="34"/>
      <c r="K38" s="34"/>
      <c r="L38" s="34"/>
      <c r="M38" s="34"/>
      <c r="N38" s="34"/>
      <c r="O38" s="34">
        <f>+O32+O34+O36</f>
        <v>7.69</v>
      </c>
      <c r="P38" s="92">
        <f t="shared" si="1"/>
        <v>243.96400000000003</v>
      </c>
    </row>
    <row r="39" spans="1:16" s="76" customFormat="1" ht="19.5" customHeight="1">
      <c r="A39" s="396" t="s">
        <v>41</v>
      </c>
      <c r="B39" s="397"/>
      <c r="C39" s="62" t="s">
        <v>16</v>
      </c>
      <c r="D39" s="5"/>
      <c r="E39" s="5"/>
      <c r="F39" s="5"/>
      <c r="G39" s="5"/>
      <c r="H39" s="5"/>
      <c r="I39" s="5"/>
      <c r="J39" s="5"/>
      <c r="K39" s="5"/>
      <c r="L39" s="5"/>
      <c r="M39" s="5">
        <v>0.0018</v>
      </c>
      <c r="N39" s="5"/>
      <c r="O39" s="5"/>
      <c r="P39" s="15">
        <f t="shared" si="1"/>
        <v>0.0018</v>
      </c>
    </row>
    <row r="40" spans="1:16" s="76" customFormat="1" ht="19.5" customHeight="1">
      <c r="A40" s="398"/>
      <c r="B40" s="399"/>
      <c r="C40" s="91" t="s">
        <v>18</v>
      </c>
      <c r="D40" s="34"/>
      <c r="E40" s="34"/>
      <c r="F40" s="34"/>
      <c r="G40" s="34"/>
      <c r="H40" s="34"/>
      <c r="I40" s="34"/>
      <c r="J40" s="34"/>
      <c r="K40" s="34"/>
      <c r="L40" s="34"/>
      <c r="M40" s="34">
        <v>0.097</v>
      </c>
      <c r="N40" s="34"/>
      <c r="O40" s="34"/>
      <c r="P40" s="92">
        <f t="shared" si="1"/>
        <v>0.097</v>
      </c>
    </row>
    <row r="41" spans="1:16" s="76" customFormat="1" ht="19.5" customHeight="1">
      <c r="A41" s="396" t="s">
        <v>42</v>
      </c>
      <c r="B41" s="397"/>
      <c r="C41" s="62" t="s">
        <v>16</v>
      </c>
      <c r="D41" s="5">
        <v>0.0052</v>
      </c>
      <c r="E41" s="5"/>
      <c r="F41" s="5"/>
      <c r="G41" s="5"/>
      <c r="H41" s="5">
        <v>0.0051</v>
      </c>
      <c r="I41" s="5">
        <v>0.0052</v>
      </c>
      <c r="J41" s="5">
        <v>0.0446</v>
      </c>
      <c r="K41" s="5">
        <v>0.0634</v>
      </c>
      <c r="L41" s="5">
        <v>0.0026</v>
      </c>
      <c r="M41" s="5">
        <v>0.0044</v>
      </c>
      <c r="N41" s="5"/>
      <c r="O41" s="5"/>
      <c r="P41" s="15">
        <f t="shared" si="1"/>
        <v>0.13049999999999998</v>
      </c>
    </row>
    <row r="42" spans="1:16" s="76" customFormat="1" ht="19.5" customHeight="1">
      <c r="A42" s="398"/>
      <c r="B42" s="399"/>
      <c r="C42" s="91" t="s">
        <v>18</v>
      </c>
      <c r="D42" s="34">
        <v>0.819</v>
      </c>
      <c r="E42" s="34"/>
      <c r="F42" s="34"/>
      <c r="G42" s="34"/>
      <c r="H42" s="34">
        <v>2.516</v>
      </c>
      <c r="I42" s="34">
        <v>1.123</v>
      </c>
      <c r="J42" s="34">
        <v>3.997</v>
      </c>
      <c r="K42" s="34">
        <v>6.604</v>
      </c>
      <c r="L42" s="34">
        <v>0.14</v>
      </c>
      <c r="M42" s="34">
        <v>0.442</v>
      </c>
      <c r="N42" s="34"/>
      <c r="O42" s="34"/>
      <c r="P42" s="92">
        <f t="shared" si="1"/>
        <v>15.641000000000002</v>
      </c>
    </row>
    <row r="43" spans="1:16" s="76" customFormat="1" ht="19.5" customHeight="1">
      <c r="A43" s="396" t="s">
        <v>43</v>
      </c>
      <c r="B43" s="397"/>
      <c r="C43" s="62" t="s">
        <v>16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5"/>
    </row>
    <row r="44" spans="1:16" s="76" customFormat="1" ht="19.5" customHeight="1">
      <c r="A44" s="398"/>
      <c r="B44" s="399"/>
      <c r="C44" s="91" t="s">
        <v>18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92"/>
    </row>
    <row r="45" spans="1:16" s="76" customFormat="1" ht="19.5" customHeight="1">
      <c r="A45" s="396" t="s">
        <v>44</v>
      </c>
      <c r="B45" s="397"/>
      <c r="C45" s="62" t="s">
        <v>16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5"/>
    </row>
    <row r="46" spans="1:16" s="76" customFormat="1" ht="19.5" customHeight="1">
      <c r="A46" s="398"/>
      <c r="B46" s="399"/>
      <c r="C46" s="91" t="s">
        <v>18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92"/>
    </row>
    <row r="47" spans="1:16" s="76" customFormat="1" ht="19.5" customHeight="1">
      <c r="A47" s="396" t="s">
        <v>45</v>
      </c>
      <c r="B47" s="397"/>
      <c r="C47" s="62" t="s">
        <v>16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5"/>
    </row>
    <row r="48" spans="1:16" s="76" customFormat="1" ht="19.5" customHeight="1">
      <c r="A48" s="398"/>
      <c r="B48" s="399"/>
      <c r="C48" s="91" t="s">
        <v>18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92"/>
    </row>
    <row r="49" spans="1:16" s="76" customFormat="1" ht="19.5" customHeight="1">
      <c r="A49" s="396" t="s">
        <v>46</v>
      </c>
      <c r="B49" s="397"/>
      <c r="C49" s="62" t="s">
        <v>16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5"/>
    </row>
    <row r="50" spans="1:16" s="76" customFormat="1" ht="19.5" customHeight="1">
      <c r="A50" s="398"/>
      <c r="B50" s="399"/>
      <c r="C50" s="91" t="s">
        <v>18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92"/>
    </row>
    <row r="51" spans="1:16" s="76" customFormat="1" ht="19.5" customHeight="1">
      <c r="A51" s="396" t="s">
        <v>47</v>
      </c>
      <c r="B51" s="397"/>
      <c r="C51" s="62" t="s">
        <v>16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5"/>
    </row>
    <row r="52" spans="1:16" s="76" customFormat="1" ht="19.5" customHeight="1">
      <c r="A52" s="398"/>
      <c r="B52" s="399"/>
      <c r="C52" s="91" t="s">
        <v>18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92"/>
    </row>
    <row r="53" spans="1:16" s="76" customFormat="1" ht="19.5" customHeight="1">
      <c r="A53" s="396" t="s">
        <v>48</v>
      </c>
      <c r="B53" s="397"/>
      <c r="C53" s="62" t="s">
        <v>16</v>
      </c>
      <c r="D53" s="5"/>
      <c r="E53" s="5"/>
      <c r="F53" s="5"/>
      <c r="G53" s="5">
        <v>0.0301</v>
      </c>
      <c r="H53" s="5">
        <v>0.0072</v>
      </c>
      <c r="I53" s="5"/>
      <c r="J53" s="5"/>
      <c r="K53" s="5"/>
      <c r="L53" s="5">
        <v>0.0318</v>
      </c>
      <c r="M53" s="5">
        <v>0.3636</v>
      </c>
      <c r="N53" s="5"/>
      <c r="O53" s="5"/>
      <c r="P53" s="15">
        <f t="shared" si="1"/>
        <v>0.4327</v>
      </c>
    </row>
    <row r="54" spans="1:16" s="76" customFormat="1" ht="19.5" customHeight="1">
      <c r="A54" s="398"/>
      <c r="B54" s="399"/>
      <c r="C54" s="91" t="s">
        <v>18</v>
      </c>
      <c r="D54" s="34"/>
      <c r="E54" s="34"/>
      <c r="F54" s="34"/>
      <c r="G54" s="34">
        <v>34.193</v>
      </c>
      <c r="H54" s="34">
        <v>4.358</v>
      </c>
      <c r="I54" s="34"/>
      <c r="J54" s="34"/>
      <c r="K54" s="34"/>
      <c r="L54" s="34">
        <v>9.31</v>
      </c>
      <c r="M54" s="34">
        <v>48.729</v>
      </c>
      <c r="N54" s="34"/>
      <c r="O54" s="34"/>
      <c r="P54" s="92">
        <f t="shared" si="1"/>
        <v>96.59</v>
      </c>
    </row>
    <row r="55" spans="1:16" s="76" customFormat="1" ht="19.5" customHeight="1">
      <c r="A55" s="89" t="s">
        <v>0</v>
      </c>
      <c r="B55" s="394" t="s">
        <v>132</v>
      </c>
      <c r="C55" s="62" t="s">
        <v>16</v>
      </c>
      <c r="D55" s="5"/>
      <c r="E55" s="5"/>
      <c r="F55" s="5"/>
      <c r="G55" s="5"/>
      <c r="H55" s="5">
        <v>0.0038</v>
      </c>
      <c r="I55" s="5">
        <v>0.0062</v>
      </c>
      <c r="J55" s="5">
        <v>0.0855</v>
      </c>
      <c r="K55" s="5">
        <v>0.0555</v>
      </c>
      <c r="L55" s="5">
        <v>0.0845</v>
      </c>
      <c r="M55" s="5">
        <v>0.0282</v>
      </c>
      <c r="N55" s="5">
        <v>0.005</v>
      </c>
      <c r="O55" s="5"/>
      <c r="P55" s="15">
        <f t="shared" si="1"/>
        <v>0.2687</v>
      </c>
    </row>
    <row r="56" spans="1:16" s="76" customFormat="1" ht="19.5" customHeight="1">
      <c r="A56" s="95" t="s">
        <v>38</v>
      </c>
      <c r="B56" s="395"/>
      <c r="C56" s="91" t="s">
        <v>18</v>
      </c>
      <c r="D56" s="34"/>
      <c r="E56" s="34"/>
      <c r="F56" s="34"/>
      <c r="G56" s="34"/>
      <c r="H56" s="34">
        <v>4.493</v>
      </c>
      <c r="I56" s="34">
        <v>1.922</v>
      </c>
      <c r="J56" s="34">
        <v>88.893</v>
      </c>
      <c r="K56" s="34">
        <v>29.904</v>
      </c>
      <c r="L56" s="34">
        <v>43.039</v>
      </c>
      <c r="M56" s="34">
        <v>33.285</v>
      </c>
      <c r="N56" s="34">
        <v>5.227</v>
      </c>
      <c r="O56" s="34"/>
      <c r="P56" s="92">
        <f t="shared" si="1"/>
        <v>206.763</v>
      </c>
    </row>
    <row r="57" spans="1:16" s="76" customFormat="1" ht="19.5" customHeight="1">
      <c r="A57" s="95" t="s">
        <v>17</v>
      </c>
      <c r="B57" s="59" t="s">
        <v>20</v>
      </c>
      <c r="C57" s="62" t="s">
        <v>16</v>
      </c>
      <c r="D57" s="5"/>
      <c r="E57" s="5"/>
      <c r="F57" s="5"/>
      <c r="G57" s="5"/>
      <c r="H57" s="5">
        <v>0.0007</v>
      </c>
      <c r="I57" s="5">
        <v>0.001</v>
      </c>
      <c r="J57" s="5"/>
      <c r="K57" s="5">
        <v>0.0014</v>
      </c>
      <c r="L57" s="5">
        <v>0.0039</v>
      </c>
      <c r="M57" s="5">
        <v>0.0032</v>
      </c>
      <c r="N57" s="5">
        <v>0.0016</v>
      </c>
      <c r="O57" s="5"/>
      <c r="P57" s="15">
        <f t="shared" si="1"/>
        <v>0.011800000000000001</v>
      </c>
    </row>
    <row r="58" spans="1:16" s="76" customFormat="1" ht="19.5" customHeight="1">
      <c r="A58" s="95" t="s">
        <v>23</v>
      </c>
      <c r="B58" s="91" t="s">
        <v>113</v>
      </c>
      <c r="C58" s="91" t="s">
        <v>18</v>
      </c>
      <c r="D58" s="34"/>
      <c r="E58" s="34"/>
      <c r="F58" s="34"/>
      <c r="G58" s="34"/>
      <c r="H58" s="34">
        <v>0.983</v>
      </c>
      <c r="I58" s="34">
        <v>1.62</v>
      </c>
      <c r="J58" s="34"/>
      <c r="K58" s="34">
        <v>3.024</v>
      </c>
      <c r="L58" s="34">
        <v>7.711</v>
      </c>
      <c r="M58" s="34">
        <v>5.724</v>
      </c>
      <c r="N58" s="34">
        <v>2.592</v>
      </c>
      <c r="O58" s="34"/>
      <c r="P58" s="92">
        <f t="shared" si="1"/>
        <v>21.654</v>
      </c>
    </row>
    <row r="59" spans="1:16" s="76" customFormat="1" ht="19.5" customHeight="1">
      <c r="A59" s="57"/>
      <c r="B59" s="388" t="s">
        <v>114</v>
      </c>
      <c r="C59" s="62" t="s">
        <v>16</v>
      </c>
      <c r="D59" s="5"/>
      <c r="E59" s="5"/>
      <c r="F59" s="5"/>
      <c r="G59" s="5"/>
      <c r="H59" s="5">
        <f aca="true" t="shared" si="2" ref="H59:N60">+H55+H57</f>
        <v>0.0045</v>
      </c>
      <c r="I59" s="5">
        <f>+I55+I57</f>
        <v>0.0072</v>
      </c>
      <c r="J59" s="5">
        <f>+J55+J57</f>
        <v>0.0855</v>
      </c>
      <c r="K59" s="5">
        <f t="shared" si="2"/>
        <v>0.0569</v>
      </c>
      <c r="L59" s="5">
        <f t="shared" si="2"/>
        <v>0.0884</v>
      </c>
      <c r="M59" s="5">
        <f t="shared" si="2"/>
        <v>0.0314</v>
      </c>
      <c r="N59" s="5">
        <f t="shared" si="2"/>
        <v>0.0066</v>
      </c>
      <c r="O59" s="5"/>
      <c r="P59" s="15">
        <f t="shared" si="1"/>
        <v>0.2805</v>
      </c>
    </row>
    <row r="60" spans="1:16" s="76" customFormat="1" ht="19.5" customHeight="1">
      <c r="A60" s="90"/>
      <c r="B60" s="389"/>
      <c r="C60" s="91" t="s">
        <v>18</v>
      </c>
      <c r="D60" s="34"/>
      <c r="E60" s="34"/>
      <c r="F60" s="34"/>
      <c r="G60" s="34"/>
      <c r="H60" s="34">
        <f t="shared" si="2"/>
        <v>5.476</v>
      </c>
      <c r="I60" s="34">
        <f t="shared" si="2"/>
        <v>3.542</v>
      </c>
      <c r="J60" s="34">
        <f>+J56+J58</f>
        <v>88.893</v>
      </c>
      <c r="K60" s="34">
        <f t="shared" si="2"/>
        <v>32.928</v>
      </c>
      <c r="L60" s="34">
        <f t="shared" si="2"/>
        <v>50.75</v>
      </c>
      <c r="M60" s="34">
        <f t="shared" si="2"/>
        <v>39.009</v>
      </c>
      <c r="N60" s="34">
        <f t="shared" si="2"/>
        <v>7.819000000000001</v>
      </c>
      <c r="O60" s="34"/>
      <c r="P60" s="92">
        <f t="shared" si="1"/>
        <v>228.417</v>
      </c>
    </row>
    <row r="61" spans="1:16" s="76" customFormat="1" ht="19.5" customHeight="1">
      <c r="A61" s="89" t="s">
        <v>0</v>
      </c>
      <c r="B61" s="394" t="s">
        <v>115</v>
      </c>
      <c r="C61" s="62" t="s">
        <v>16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5"/>
    </row>
    <row r="62" spans="1:16" s="76" customFormat="1" ht="19.5" customHeight="1">
      <c r="A62" s="95" t="s">
        <v>49</v>
      </c>
      <c r="B62" s="395"/>
      <c r="C62" s="91" t="s">
        <v>18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92"/>
    </row>
    <row r="63" spans="1:16" s="76" customFormat="1" ht="19.5" customHeight="1">
      <c r="A63" s="95" t="s">
        <v>0</v>
      </c>
      <c r="B63" s="59" t="s">
        <v>50</v>
      </c>
      <c r="C63" s="62" t="s">
        <v>16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5"/>
    </row>
    <row r="64" spans="1:16" s="76" customFormat="1" ht="19.5" customHeight="1">
      <c r="A64" s="95" t="s">
        <v>51</v>
      </c>
      <c r="B64" s="91" t="s">
        <v>116</v>
      </c>
      <c r="C64" s="91" t="s">
        <v>18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92"/>
    </row>
    <row r="65" spans="1:16" s="76" customFormat="1" ht="19.5" customHeight="1">
      <c r="A65" s="95" t="s">
        <v>0</v>
      </c>
      <c r="B65" s="394" t="s">
        <v>53</v>
      </c>
      <c r="C65" s="62" t="s">
        <v>16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5"/>
    </row>
    <row r="66" spans="1:16" s="76" customFormat="1" ht="19.5" customHeight="1">
      <c r="A66" s="95" t="s">
        <v>23</v>
      </c>
      <c r="B66" s="395"/>
      <c r="C66" s="91" t="s">
        <v>18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92"/>
    </row>
    <row r="67" spans="1:16" s="76" customFormat="1" ht="19.5" customHeight="1">
      <c r="A67" s="95"/>
      <c r="B67" s="59" t="s">
        <v>20</v>
      </c>
      <c r="C67" s="62" t="s">
        <v>16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5"/>
    </row>
    <row r="68" spans="1:16" s="76" customFormat="1" ht="19.5" customHeight="1" thickBot="1">
      <c r="A68" s="176" t="s">
        <v>0</v>
      </c>
      <c r="B68" s="65" t="s">
        <v>116</v>
      </c>
      <c r="C68" s="65" t="s">
        <v>18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7"/>
    </row>
    <row r="69" spans="1:16" s="76" customFormat="1" ht="19.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</row>
    <row r="70" spans="1:16" s="76" customFormat="1" ht="19.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</row>
    <row r="71" spans="1:16" s="76" customFormat="1" ht="19.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</row>
    <row r="72" spans="1:16" s="76" customFormat="1" ht="19.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</row>
    <row r="73" spans="1:16" s="76" customFormat="1" ht="19.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</row>
    <row r="74" spans="1:16" s="76" customFormat="1" ht="19.5" customHeight="1" thickBot="1">
      <c r="A74" s="64" t="s">
        <v>85</v>
      </c>
      <c r="B74" s="17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 t="s">
        <v>146</v>
      </c>
      <c r="P74" s="64"/>
    </row>
    <row r="75" spans="1:16" s="76" customFormat="1" ht="19.5" customHeight="1">
      <c r="A75" s="90"/>
      <c r="B75" s="138"/>
      <c r="C75" s="138"/>
      <c r="D75" s="82" t="s">
        <v>2</v>
      </c>
      <c r="E75" s="82" t="s">
        <v>3</v>
      </c>
      <c r="F75" s="82" t="s">
        <v>4</v>
      </c>
      <c r="G75" s="82" t="s">
        <v>5</v>
      </c>
      <c r="H75" s="82" t="s">
        <v>6</v>
      </c>
      <c r="I75" s="82" t="s">
        <v>7</v>
      </c>
      <c r="J75" s="82" t="s">
        <v>8</v>
      </c>
      <c r="K75" s="82" t="s">
        <v>9</v>
      </c>
      <c r="L75" s="82" t="s">
        <v>10</v>
      </c>
      <c r="M75" s="82" t="s">
        <v>11</v>
      </c>
      <c r="N75" s="82" t="s">
        <v>12</v>
      </c>
      <c r="O75" s="82" t="s">
        <v>13</v>
      </c>
      <c r="P75" s="172" t="s">
        <v>106</v>
      </c>
    </row>
    <row r="76" spans="1:16" s="76" customFormat="1" ht="19.5" customHeight="1">
      <c r="A76" s="95" t="s">
        <v>49</v>
      </c>
      <c r="B76" s="388" t="s">
        <v>117</v>
      </c>
      <c r="C76" s="62" t="s">
        <v>16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15"/>
    </row>
    <row r="77" spans="1:16" s="76" customFormat="1" ht="19.5" customHeight="1">
      <c r="A77" s="96" t="s">
        <v>51</v>
      </c>
      <c r="B77" s="389"/>
      <c r="C77" s="91" t="s">
        <v>18</v>
      </c>
      <c r="D77" s="34"/>
      <c r="E77" s="34"/>
      <c r="F77" s="34"/>
      <c r="G77" s="34"/>
      <c r="H77" s="34"/>
      <c r="I77" s="34"/>
      <c r="J77" s="34"/>
      <c r="K77" s="34"/>
      <c r="L77" s="34"/>
      <c r="M77" s="97"/>
      <c r="N77" s="34"/>
      <c r="O77" s="34"/>
      <c r="P77" s="92"/>
    </row>
    <row r="78" spans="1:16" s="76" customFormat="1" ht="19.5" customHeight="1">
      <c r="A78" s="95" t="s">
        <v>0</v>
      </c>
      <c r="B78" s="394" t="s">
        <v>54</v>
      </c>
      <c r="C78" s="62" t="s">
        <v>16</v>
      </c>
      <c r="D78" s="5">
        <v>0.573</v>
      </c>
      <c r="E78" s="5">
        <v>0.2389</v>
      </c>
      <c r="F78" s="5">
        <v>0.281</v>
      </c>
      <c r="G78" s="5">
        <v>0.3848</v>
      </c>
      <c r="H78" s="5">
        <v>5.1187</v>
      </c>
      <c r="I78" s="5">
        <v>29.9615</v>
      </c>
      <c r="J78" s="5">
        <v>21.5817</v>
      </c>
      <c r="K78" s="5">
        <v>8.6143</v>
      </c>
      <c r="L78" s="5">
        <v>5.3594</v>
      </c>
      <c r="M78" s="5">
        <v>0.3855</v>
      </c>
      <c r="N78" s="5">
        <v>0.6544</v>
      </c>
      <c r="O78" s="5">
        <v>0.6476</v>
      </c>
      <c r="P78" s="15">
        <f>SUM(D78:O78)</f>
        <v>73.80079999999998</v>
      </c>
    </row>
    <row r="79" spans="1:16" s="76" customFormat="1" ht="19.5" customHeight="1">
      <c r="A79" s="95" t="s">
        <v>34</v>
      </c>
      <c r="B79" s="395"/>
      <c r="C79" s="91" t="s">
        <v>18</v>
      </c>
      <c r="D79" s="34">
        <v>592.076</v>
      </c>
      <c r="E79" s="34">
        <v>313.502</v>
      </c>
      <c r="F79" s="34">
        <v>412.662</v>
      </c>
      <c r="G79" s="34">
        <v>569.049</v>
      </c>
      <c r="H79" s="34">
        <v>3732.599</v>
      </c>
      <c r="I79" s="34">
        <v>10309.309</v>
      </c>
      <c r="J79" s="34">
        <v>11472.834</v>
      </c>
      <c r="K79" s="34">
        <v>8704.064</v>
      </c>
      <c r="L79" s="34">
        <v>5723.975</v>
      </c>
      <c r="M79" s="34">
        <v>558.079</v>
      </c>
      <c r="N79" s="34">
        <v>590.527</v>
      </c>
      <c r="O79" s="34">
        <v>640.059</v>
      </c>
      <c r="P79" s="92">
        <f>SUM(D79:O79)</f>
        <v>43618.735</v>
      </c>
    </row>
    <row r="80" spans="1:16" s="76" customFormat="1" ht="19.5" customHeight="1">
      <c r="A80" s="95" t="s">
        <v>0</v>
      </c>
      <c r="B80" s="394" t="s">
        <v>55</v>
      </c>
      <c r="C80" s="62" t="s">
        <v>16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15"/>
    </row>
    <row r="81" spans="1:16" s="76" customFormat="1" ht="19.5" customHeight="1">
      <c r="A81" s="95" t="s">
        <v>0</v>
      </c>
      <c r="B81" s="395"/>
      <c r="C81" s="91" t="s">
        <v>18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92"/>
    </row>
    <row r="82" spans="1:16" s="76" customFormat="1" ht="19.5" customHeight="1">
      <c r="A82" s="95" t="s">
        <v>56</v>
      </c>
      <c r="B82" s="177" t="s">
        <v>163</v>
      </c>
      <c r="C82" s="62" t="s">
        <v>16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15"/>
    </row>
    <row r="83" spans="1:16" s="76" customFormat="1" ht="19.5" customHeight="1">
      <c r="A83" s="95"/>
      <c r="B83" s="178" t="s">
        <v>164</v>
      </c>
      <c r="C83" s="91" t="s">
        <v>18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92"/>
    </row>
    <row r="84" spans="1:16" s="76" customFormat="1" ht="19.5" customHeight="1">
      <c r="A84" s="95"/>
      <c r="B84" s="394" t="s">
        <v>59</v>
      </c>
      <c r="C84" s="62" t="s">
        <v>16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15"/>
    </row>
    <row r="85" spans="1:16" s="76" customFormat="1" ht="19.5" customHeight="1">
      <c r="A85" s="95" t="s">
        <v>17</v>
      </c>
      <c r="B85" s="395"/>
      <c r="C85" s="91" t="s">
        <v>18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92"/>
    </row>
    <row r="86" spans="1:16" s="76" customFormat="1" ht="19.5" customHeight="1">
      <c r="A86" s="95"/>
      <c r="B86" s="179" t="s">
        <v>20</v>
      </c>
      <c r="C86" s="62" t="s">
        <v>16</v>
      </c>
      <c r="D86" s="5">
        <v>1.8812</v>
      </c>
      <c r="E86" s="5">
        <v>1.3175</v>
      </c>
      <c r="F86" s="5">
        <v>1.7548</v>
      </c>
      <c r="G86" s="5">
        <v>3.2001</v>
      </c>
      <c r="H86" s="5">
        <v>2.2034</v>
      </c>
      <c r="I86" s="5">
        <v>3.1556</v>
      </c>
      <c r="J86" s="5">
        <v>2.8603</v>
      </c>
      <c r="K86" s="5">
        <v>1.2084</v>
      </c>
      <c r="L86" s="5">
        <v>0.5842</v>
      </c>
      <c r="M86" s="5">
        <v>0.1938</v>
      </c>
      <c r="N86" s="5">
        <v>0.653</v>
      </c>
      <c r="O86" s="5">
        <v>1.0381</v>
      </c>
      <c r="P86" s="15">
        <f aca="true" t="shared" si="3" ref="P86:P91">SUM(D86:O86)</f>
        <v>20.0504</v>
      </c>
    </row>
    <row r="87" spans="1:16" s="76" customFormat="1" ht="19.5" customHeight="1">
      <c r="A87" s="95"/>
      <c r="B87" s="178" t="s">
        <v>155</v>
      </c>
      <c r="C87" s="91" t="s">
        <v>18</v>
      </c>
      <c r="D87" s="34">
        <v>621.679</v>
      </c>
      <c r="E87" s="34">
        <v>589.702</v>
      </c>
      <c r="F87" s="34">
        <v>736.217</v>
      </c>
      <c r="G87" s="34">
        <v>1486.283</v>
      </c>
      <c r="H87" s="34">
        <v>1045.069</v>
      </c>
      <c r="I87" s="34">
        <v>2362.871</v>
      </c>
      <c r="J87" s="34">
        <v>2647.58</v>
      </c>
      <c r="K87" s="34">
        <v>1786.167</v>
      </c>
      <c r="L87" s="34">
        <v>961.7</v>
      </c>
      <c r="M87" s="34">
        <v>211.905</v>
      </c>
      <c r="N87" s="34">
        <v>525.987</v>
      </c>
      <c r="O87" s="34">
        <v>587.76</v>
      </c>
      <c r="P87" s="92">
        <f t="shared" si="3"/>
        <v>13562.92</v>
      </c>
    </row>
    <row r="88" spans="1:16" s="76" customFormat="1" ht="19.5" customHeight="1">
      <c r="A88" s="95" t="s">
        <v>23</v>
      </c>
      <c r="B88" s="388" t="s">
        <v>114</v>
      </c>
      <c r="C88" s="62" t="s">
        <v>16</v>
      </c>
      <c r="D88" s="5">
        <f>+D78+D80+D82+D84+D86</f>
        <v>2.4542</v>
      </c>
      <c r="E88" s="5">
        <f aca="true" t="shared" si="4" ref="E88:G89">+E78+E80+E82+E84+E86</f>
        <v>1.5564</v>
      </c>
      <c r="F88" s="5">
        <f t="shared" si="4"/>
        <v>2.0358</v>
      </c>
      <c r="G88" s="5">
        <f t="shared" si="4"/>
        <v>3.5848999999999998</v>
      </c>
      <c r="H88" s="5">
        <f aca="true" t="shared" si="5" ref="H88:O89">+H78+H80+H82+H84+H86</f>
        <v>7.322099999999999</v>
      </c>
      <c r="I88" s="5">
        <f t="shared" si="5"/>
        <v>33.1171</v>
      </c>
      <c r="J88" s="5">
        <f>+J78+J80+J82+J84+J86</f>
        <v>24.442</v>
      </c>
      <c r="K88" s="5">
        <f t="shared" si="5"/>
        <v>9.8227</v>
      </c>
      <c r="L88" s="5">
        <f t="shared" si="5"/>
        <v>5.9436</v>
      </c>
      <c r="M88" s="5">
        <f t="shared" si="5"/>
        <v>0.5793</v>
      </c>
      <c r="N88" s="5">
        <f t="shared" si="5"/>
        <v>1.3074</v>
      </c>
      <c r="O88" s="5">
        <f t="shared" si="5"/>
        <v>1.6857</v>
      </c>
      <c r="P88" s="15">
        <f t="shared" si="3"/>
        <v>93.85119999999999</v>
      </c>
    </row>
    <row r="89" spans="1:16" s="76" customFormat="1" ht="19.5" customHeight="1">
      <c r="A89" s="90"/>
      <c r="B89" s="389"/>
      <c r="C89" s="91" t="s">
        <v>18</v>
      </c>
      <c r="D89" s="34">
        <f>+D79+D81+D83+D85+D87</f>
        <v>1213.755</v>
      </c>
      <c r="E89" s="34">
        <f t="shared" si="4"/>
        <v>903.204</v>
      </c>
      <c r="F89" s="34">
        <f t="shared" si="4"/>
        <v>1148.879</v>
      </c>
      <c r="G89" s="34">
        <f t="shared" si="4"/>
        <v>2055.332</v>
      </c>
      <c r="H89" s="34">
        <f t="shared" si="5"/>
        <v>4777.668</v>
      </c>
      <c r="I89" s="34">
        <f t="shared" si="5"/>
        <v>12672.18</v>
      </c>
      <c r="J89" s="34">
        <f>+J79+J81+J83+J85+J87</f>
        <v>14120.414</v>
      </c>
      <c r="K89" s="34">
        <f t="shared" si="5"/>
        <v>10490.231</v>
      </c>
      <c r="L89" s="34">
        <f t="shared" si="5"/>
        <v>6685.675</v>
      </c>
      <c r="M89" s="34">
        <f t="shared" si="5"/>
        <v>769.9839999999999</v>
      </c>
      <c r="N89" s="34">
        <f t="shared" si="5"/>
        <v>1116.5140000000001</v>
      </c>
      <c r="O89" s="34">
        <f t="shared" si="5"/>
        <v>1227.819</v>
      </c>
      <c r="P89" s="92">
        <f t="shared" si="3"/>
        <v>57181.655000000006</v>
      </c>
    </row>
    <row r="90" spans="1:16" s="76" customFormat="1" ht="19.5" customHeight="1">
      <c r="A90" s="396" t="s">
        <v>118</v>
      </c>
      <c r="B90" s="397"/>
      <c r="C90" s="62" t="s">
        <v>16</v>
      </c>
      <c r="D90" s="5">
        <v>0.0026</v>
      </c>
      <c r="E90" s="5"/>
      <c r="F90" s="5"/>
      <c r="G90" s="5"/>
      <c r="H90" s="5"/>
      <c r="I90" s="5">
        <v>0.0058</v>
      </c>
      <c r="J90" s="5">
        <v>0.1697</v>
      </c>
      <c r="K90" s="5">
        <v>0.0752</v>
      </c>
      <c r="L90" s="5">
        <v>0.2768</v>
      </c>
      <c r="M90" s="5">
        <v>0.0334</v>
      </c>
      <c r="N90" s="5">
        <v>0.098</v>
      </c>
      <c r="O90" s="5">
        <v>0.0255</v>
      </c>
      <c r="P90" s="15">
        <f t="shared" si="3"/>
        <v>0.6869999999999999</v>
      </c>
    </row>
    <row r="91" spans="1:16" s="76" customFormat="1" ht="19.5" customHeight="1">
      <c r="A91" s="398"/>
      <c r="B91" s="399"/>
      <c r="C91" s="91" t="s">
        <v>18</v>
      </c>
      <c r="D91" s="34">
        <v>2.184</v>
      </c>
      <c r="E91" s="34"/>
      <c r="F91" s="34"/>
      <c r="G91" s="34"/>
      <c r="H91" s="34"/>
      <c r="I91" s="34">
        <v>4.385</v>
      </c>
      <c r="J91" s="34">
        <v>145.572</v>
      </c>
      <c r="K91" s="34">
        <v>70.568</v>
      </c>
      <c r="L91" s="34">
        <v>242.934</v>
      </c>
      <c r="M91" s="34">
        <v>24.646</v>
      </c>
      <c r="N91" s="34">
        <v>65.124</v>
      </c>
      <c r="O91" s="34">
        <v>18.188</v>
      </c>
      <c r="P91" s="92">
        <f t="shared" si="3"/>
        <v>573.601</v>
      </c>
    </row>
    <row r="92" spans="1:16" s="76" customFormat="1" ht="19.5" customHeight="1">
      <c r="A92" s="396" t="s">
        <v>61</v>
      </c>
      <c r="B92" s="397"/>
      <c r="C92" s="62" t="s">
        <v>16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15"/>
    </row>
    <row r="93" spans="1:16" s="76" customFormat="1" ht="19.5" customHeight="1">
      <c r="A93" s="398"/>
      <c r="B93" s="399"/>
      <c r="C93" s="91" t="s">
        <v>18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92"/>
    </row>
    <row r="94" spans="1:16" s="76" customFormat="1" ht="19.5" customHeight="1">
      <c r="A94" s="396" t="s">
        <v>119</v>
      </c>
      <c r="B94" s="397"/>
      <c r="C94" s="62" t="s">
        <v>16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15"/>
    </row>
    <row r="95" spans="1:16" s="76" customFormat="1" ht="19.5" customHeight="1">
      <c r="A95" s="398"/>
      <c r="B95" s="399"/>
      <c r="C95" s="91" t="s">
        <v>18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92"/>
    </row>
    <row r="96" spans="1:16" s="76" customFormat="1" ht="19.5" customHeight="1">
      <c r="A96" s="396" t="s">
        <v>120</v>
      </c>
      <c r="B96" s="397"/>
      <c r="C96" s="62" t="s">
        <v>16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15"/>
    </row>
    <row r="97" spans="1:16" s="76" customFormat="1" ht="19.5" customHeight="1">
      <c r="A97" s="398"/>
      <c r="B97" s="399"/>
      <c r="C97" s="91" t="s">
        <v>18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92"/>
    </row>
    <row r="98" spans="1:16" s="76" customFormat="1" ht="19.5" customHeight="1">
      <c r="A98" s="396" t="s">
        <v>165</v>
      </c>
      <c r="B98" s="397"/>
      <c r="C98" s="62" t="s">
        <v>16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15"/>
    </row>
    <row r="99" spans="1:16" s="76" customFormat="1" ht="19.5" customHeight="1">
      <c r="A99" s="398"/>
      <c r="B99" s="399"/>
      <c r="C99" s="91" t="s">
        <v>18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92"/>
    </row>
    <row r="100" spans="1:16" s="76" customFormat="1" ht="19.5" customHeight="1">
      <c r="A100" s="396" t="s">
        <v>166</v>
      </c>
      <c r="B100" s="397"/>
      <c r="C100" s="62" t="s">
        <v>16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5"/>
    </row>
    <row r="101" spans="1:16" s="76" customFormat="1" ht="19.5" customHeight="1">
      <c r="A101" s="398"/>
      <c r="B101" s="399"/>
      <c r="C101" s="91" t="s">
        <v>18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92"/>
    </row>
    <row r="102" spans="1:16" s="76" customFormat="1" ht="19.5" customHeight="1">
      <c r="A102" s="396" t="s">
        <v>64</v>
      </c>
      <c r="B102" s="397"/>
      <c r="C102" s="62" t="s">
        <v>16</v>
      </c>
      <c r="D102" s="5">
        <v>2.7426</v>
      </c>
      <c r="E102" s="5">
        <v>2.4116</v>
      </c>
      <c r="F102" s="5">
        <v>2.6265</v>
      </c>
      <c r="G102" s="5">
        <v>4.0207</v>
      </c>
      <c r="H102" s="5">
        <v>2.4256</v>
      </c>
      <c r="I102" s="5">
        <v>4.456</v>
      </c>
      <c r="J102" s="5">
        <v>4.5419</v>
      </c>
      <c r="K102" s="5">
        <v>2.2509</v>
      </c>
      <c r="L102" s="5">
        <v>2.8208</v>
      </c>
      <c r="M102" s="5">
        <v>1.7735</v>
      </c>
      <c r="N102" s="5">
        <v>2.0043</v>
      </c>
      <c r="O102" s="5">
        <v>0.9621</v>
      </c>
      <c r="P102" s="15">
        <f aca="true" t="shared" si="6" ref="P102:P109">SUM(D102:O102)</f>
        <v>33.0365</v>
      </c>
    </row>
    <row r="103" spans="1:16" s="76" customFormat="1" ht="19.5" customHeight="1">
      <c r="A103" s="398"/>
      <c r="B103" s="399"/>
      <c r="C103" s="91" t="s">
        <v>18</v>
      </c>
      <c r="D103" s="34">
        <v>2440.236</v>
      </c>
      <c r="E103" s="34">
        <v>2079.315</v>
      </c>
      <c r="F103" s="34">
        <v>3040.507</v>
      </c>
      <c r="G103" s="34">
        <v>3816.159</v>
      </c>
      <c r="H103" s="34">
        <v>1626.982</v>
      </c>
      <c r="I103" s="34">
        <v>3003.757</v>
      </c>
      <c r="J103" s="34">
        <v>3409.784</v>
      </c>
      <c r="K103" s="34">
        <v>2458.594</v>
      </c>
      <c r="L103" s="34">
        <v>3034.438</v>
      </c>
      <c r="M103" s="34">
        <v>2010.05</v>
      </c>
      <c r="N103" s="34">
        <v>1722.369</v>
      </c>
      <c r="O103" s="34">
        <v>736.058</v>
      </c>
      <c r="P103" s="92">
        <f t="shared" si="6"/>
        <v>29378.248999999996</v>
      </c>
    </row>
    <row r="104" spans="1:16" s="76" customFormat="1" ht="19.5" customHeight="1">
      <c r="A104" s="390" t="s">
        <v>65</v>
      </c>
      <c r="B104" s="391"/>
      <c r="C104" s="62" t="s">
        <v>16</v>
      </c>
      <c r="D104" s="5">
        <f aca="true" t="shared" si="7" ref="D104:O104">+D9+D11+D23+D29+D37+D39+D41+D43+D45+D47+D49+D51+D53+D59+D76+D88+D90+D92+D94+D96+D98+D100+D102</f>
        <v>6.422600000000001</v>
      </c>
      <c r="E104" s="5">
        <f t="shared" si="7"/>
        <v>4.2382</v>
      </c>
      <c r="F104" s="5">
        <f t="shared" si="7"/>
        <v>4.7605</v>
      </c>
      <c r="G104" s="5">
        <f t="shared" si="7"/>
        <v>7.6357</v>
      </c>
      <c r="H104" s="5">
        <f t="shared" si="7"/>
        <v>9.764499999999998</v>
      </c>
      <c r="I104" s="5">
        <f t="shared" si="7"/>
        <v>37.591300000000004</v>
      </c>
      <c r="J104" s="5">
        <f t="shared" si="7"/>
        <v>29.283699999999996</v>
      </c>
      <c r="K104" s="5">
        <f t="shared" si="7"/>
        <v>12.2691</v>
      </c>
      <c r="L104" s="5">
        <f t="shared" si="7"/>
        <v>9.164</v>
      </c>
      <c r="M104" s="5">
        <f t="shared" si="7"/>
        <v>2.7874</v>
      </c>
      <c r="N104" s="5">
        <f t="shared" si="7"/>
        <v>3.4163</v>
      </c>
      <c r="O104" s="5">
        <f t="shared" si="7"/>
        <v>2.7091000000000003</v>
      </c>
      <c r="P104" s="15">
        <f t="shared" si="6"/>
        <v>130.04240000000001</v>
      </c>
    </row>
    <row r="105" spans="1:16" s="76" customFormat="1" ht="19.5" customHeight="1">
      <c r="A105" s="392"/>
      <c r="B105" s="393"/>
      <c r="C105" s="91" t="s">
        <v>18</v>
      </c>
      <c r="D105" s="34">
        <f aca="true" t="shared" si="8" ref="D105:O105">+D10+D12+D24+D30+D38+D40+D42+D44+D46+D48+D50+D52+D54+D60+D77+D89+D91+D93+D95+D97+D99+D101+D103</f>
        <v>3844.0249999999996</v>
      </c>
      <c r="E105" s="34">
        <f t="shared" si="8"/>
        <v>3024.7889999999998</v>
      </c>
      <c r="F105" s="34">
        <f t="shared" si="8"/>
        <v>4196.359</v>
      </c>
      <c r="G105" s="34">
        <f t="shared" si="8"/>
        <v>5905.684</v>
      </c>
      <c r="H105" s="34">
        <f t="shared" si="8"/>
        <v>6417</v>
      </c>
      <c r="I105" s="34">
        <f t="shared" si="8"/>
        <v>15684.987000000001</v>
      </c>
      <c r="J105" s="34">
        <f t="shared" si="8"/>
        <v>17768.66</v>
      </c>
      <c r="K105" s="34">
        <f t="shared" si="8"/>
        <v>13058.925</v>
      </c>
      <c r="L105" s="34">
        <f t="shared" si="8"/>
        <v>10023.247</v>
      </c>
      <c r="M105" s="34">
        <f t="shared" si="8"/>
        <v>2892.957</v>
      </c>
      <c r="N105" s="34">
        <f t="shared" si="8"/>
        <v>2911.826</v>
      </c>
      <c r="O105" s="34">
        <f t="shared" si="8"/>
        <v>1989.755</v>
      </c>
      <c r="P105" s="92">
        <f t="shared" si="6"/>
        <v>87718.214</v>
      </c>
    </row>
    <row r="106" spans="1:16" s="76" customFormat="1" ht="19.5" customHeight="1">
      <c r="A106" s="89" t="s">
        <v>0</v>
      </c>
      <c r="B106" s="394" t="s">
        <v>167</v>
      </c>
      <c r="C106" s="62" t="s">
        <v>16</v>
      </c>
      <c r="D106" s="5"/>
      <c r="E106" s="5">
        <v>0</v>
      </c>
      <c r="F106" s="5"/>
      <c r="G106" s="5"/>
      <c r="H106" s="5">
        <v>0.455</v>
      </c>
      <c r="I106" s="5">
        <v>-0.455</v>
      </c>
      <c r="J106" s="5">
        <v>0</v>
      </c>
      <c r="K106" s="5"/>
      <c r="L106" s="5"/>
      <c r="M106" s="5"/>
      <c r="N106" s="5"/>
      <c r="O106" s="5">
        <v>0</v>
      </c>
      <c r="P106" s="15">
        <f t="shared" si="6"/>
        <v>0</v>
      </c>
    </row>
    <row r="107" spans="1:16" s="76" customFormat="1" ht="19.5" customHeight="1">
      <c r="A107" s="89" t="s">
        <v>0</v>
      </c>
      <c r="B107" s="395"/>
      <c r="C107" s="91" t="s">
        <v>18</v>
      </c>
      <c r="D107" s="34"/>
      <c r="E107" s="34">
        <v>2942.919</v>
      </c>
      <c r="F107" s="34"/>
      <c r="G107" s="34"/>
      <c r="H107" s="34">
        <v>757.728</v>
      </c>
      <c r="I107" s="34">
        <v>610.254</v>
      </c>
      <c r="J107" s="34">
        <v>1087.776</v>
      </c>
      <c r="K107" s="34"/>
      <c r="L107" s="34"/>
      <c r="M107" s="34"/>
      <c r="N107" s="34"/>
      <c r="O107" s="34">
        <v>2444.958</v>
      </c>
      <c r="P107" s="92">
        <f t="shared" si="6"/>
        <v>7843.635</v>
      </c>
    </row>
    <row r="108" spans="1:16" s="76" customFormat="1" ht="19.5" customHeight="1">
      <c r="A108" s="95" t="s">
        <v>66</v>
      </c>
      <c r="B108" s="394" t="s">
        <v>168</v>
      </c>
      <c r="C108" s="62" t="s">
        <v>16</v>
      </c>
      <c r="D108" s="5">
        <v>6.8723</v>
      </c>
      <c r="E108" s="5">
        <v>0.631</v>
      </c>
      <c r="F108" s="5">
        <v>0.3591</v>
      </c>
      <c r="G108" s="5">
        <v>1.0224</v>
      </c>
      <c r="H108" s="5">
        <v>1.7198</v>
      </c>
      <c r="I108" s="5">
        <v>2.8872</v>
      </c>
      <c r="J108" s="5">
        <v>1.7982</v>
      </c>
      <c r="K108" s="5">
        <v>0.9264</v>
      </c>
      <c r="L108" s="5">
        <v>0.6544</v>
      </c>
      <c r="M108" s="5">
        <v>0.2541</v>
      </c>
      <c r="N108" s="5">
        <v>1.209</v>
      </c>
      <c r="O108" s="5">
        <v>1.2239</v>
      </c>
      <c r="P108" s="15">
        <f t="shared" si="6"/>
        <v>19.5578</v>
      </c>
    </row>
    <row r="109" spans="1:16" s="76" customFormat="1" ht="19.5" customHeight="1">
      <c r="A109" s="95" t="s">
        <v>0</v>
      </c>
      <c r="B109" s="395"/>
      <c r="C109" s="91" t="s">
        <v>18</v>
      </c>
      <c r="D109" s="34">
        <v>2885.732</v>
      </c>
      <c r="E109" s="34">
        <v>304.587</v>
      </c>
      <c r="F109" s="34">
        <v>287.775</v>
      </c>
      <c r="G109" s="34">
        <v>671.024</v>
      </c>
      <c r="H109" s="34">
        <v>885.085</v>
      </c>
      <c r="I109" s="34">
        <v>1264.288</v>
      </c>
      <c r="J109" s="34">
        <v>766.282</v>
      </c>
      <c r="K109" s="34">
        <v>526.175</v>
      </c>
      <c r="L109" s="34">
        <v>565.153</v>
      </c>
      <c r="M109" s="34">
        <v>289.98</v>
      </c>
      <c r="N109" s="34">
        <v>938.099</v>
      </c>
      <c r="O109" s="34">
        <v>868.657</v>
      </c>
      <c r="P109" s="92">
        <f t="shared" si="6"/>
        <v>10252.837</v>
      </c>
    </row>
    <row r="110" spans="1:16" s="76" customFormat="1" ht="19.5" customHeight="1">
      <c r="A110" s="95" t="s">
        <v>0</v>
      </c>
      <c r="B110" s="394" t="s">
        <v>169</v>
      </c>
      <c r="C110" s="62" t="s">
        <v>16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15"/>
    </row>
    <row r="111" spans="1:16" s="76" customFormat="1" ht="19.5" customHeight="1">
      <c r="A111" s="95"/>
      <c r="B111" s="395"/>
      <c r="C111" s="91" t="s">
        <v>18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92"/>
    </row>
    <row r="112" spans="1:16" s="76" customFormat="1" ht="19.5" customHeight="1">
      <c r="A112" s="95" t="s">
        <v>67</v>
      </c>
      <c r="B112" s="394" t="s">
        <v>170</v>
      </c>
      <c r="C112" s="62" t="s">
        <v>16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15"/>
    </row>
    <row r="113" spans="1:16" s="76" customFormat="1" ht="19.5" customHeight="1">
      <c r="A113" s="95"/>
      <c r="B113" s="395"/>
      <c r="C113" s="91" t="s">
        <v>18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92"/>
    </row>
    <row r="114" spans="1:16" s="76" customFormat="1" ht="19.5" customHeight="1">
      <c r="A114" s="95"/>
      <c r="B114" s="394" t="s">
        <v>171</v>
      </c>
      <c r="C114" s="62" t="s">
        <v>16</v>
      </c>
      <c r="D114" s="5"/>
      <c r="E114" s="5">
        <v>0.021</v>
      </c>
      <c r="F114" s="5">
        <v>0.2922</v>
      </c>
      <c r="G114" s="5">
        <v>0.093</v>
      </c>
      <c r="H114" s="5">
        <v>0.1964</v>
      </c>
      <c r="I114" s="5">
        <v>0.0265</v>
      </c>
      <c r="J114" s="5"/>
      <c r="K114" s="5">
        <v>0.1214</v>
      </c>
      <c r="L114" s="5">
        <v>1.7685</v>
      </c>
      <c r="M114" s="5">
        <v>0.36</v>
      </c>
      <c r="N114" s="5">
        <v>0.075</v>
      </c>
      <c r="O114" s="5">
        <v>0.004</v>
      </c>
      <c r="P114" s="15">
        <f>SUM(D114:O114)</f>
        <v>2.958</v>
      </c>
    </row>
    <row r="115" spans="1:16" s="76" customFormat="1" ht="19.5" customHeight="1">
      <c r="A115" s="95"/>
      <c r="B115" s="395"/>
      <c r="C115" s="91" t="s">
        <v>18</v>
      </c>
      <c r="D115" s="34"/>
      <c r="E115" s="34">
        <v>4.41</v>
      </c>
      <c r="F115" s="34">
        <v>61.362</v>
      </c>
      <c r="G115" s="34">
        <v>20.088</v>
      </c>
      <c r="H115" s="34">
        <v>228.896</v>
      </c>
      <c r="I115" s="34">
        <v>8.586</v>
      </c>
      <c r="J115" s="34"/>
      <c r="K115" s="34">
        <v>54.367</v>
      </c>
      <c r="L115" s="34">
        <v>397.56</v>
      </c>
      <c r="M115" s="34">
        <v>106.812</v>
      </c>
      <c r="N115" s="34">
        <v>16.2</v>
      </c>
      <c r="O115" s="34">
        <v>0.432</v>
      </c>
      <c r="P115" s="92">
        <f>SUM(D115:O115)</f>
        <v>898.7130000000001</v>
      </c>
    </row>
    <row r="116" spans="1:16" s="76" customFormat="1" ht="19.5" customHeight="1">
      <c r="A116" s="95" t="s">
        <v>68</v>
      </c>
      <c r="B116" s="394" t="s">
        <v>172</v>
      </c>
      <c r="C116" s="62" t="s">
        <v>16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15"/>
    </row>
    <row r="117" spans="1:16" s="76" customFormat="1" ht="19.5" customHeight="1">
      <c r="A117" s="95"/>
      <c r="B117" s="395"/>
      <c r="C117" s="91" t="s">
        <v>18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92"/>
    </row>
    <row r="118" spans="1:16" s="76" customFormat="1" ht="19.5" customHeight="1">
      <c r="A118" s="95"/>
      <c r="B118" s="394" t="s">
        <v>173</v>
      </c>
      <c r="C118" s="62" t="s">
        <v>16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15"/>
    </row>
    <row r="119" spans="1:16" s="76" customFormat="1" ht="19.5" customHeight="1">
      <c r="A119" s="95"/>
      <c r="B119" s="395"/>
      <c r="C119" s="91" t="s">
        <v>18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92"/>
    </row>
    <row r="120" spans="1:16" s="76" customFormat="1" ht="19.5" customHeight="1">
      <c r="A120" s="95" t="s">
        <v>70</v>
      </c>
      <c r="B120" s="394" t="s">
        <v>174</v>
      </c>
      <c r="C120" s="62" t="s">
        <v>16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15"/>
    </row>
    <row r="121" spans="1:16" s="76" customFormat="1" ht="19.5" customHeight="1">
      <c r="A121" s="95"/>
      <c r="B121" s="395"/>
      <c r="C121" s="91" t="s">
        <v>18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92"/>
    </row>
    <row r="122" spans="1:16" s="76" customFormat="1" ht="19.5" customHeight="1">
      <c r="A122" s="95"/>
      <c r="B122" s="394" t="s">
        <v>175</v>
      </c>
      <c r="C122" s="62" t="s">
        <v>16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15"/>
    </row>
    <row r="123" spans="1:16" s="76" customFormat="1" ht="19.5" customHeight="1">
      <c r="A123" s="95"/>
      <c r="B123" s="395"/>
      <c r="C123" s="91" t="s">
        <v>18</v>
      </c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92"/>
    </row>
    <row r="124" spans="1:16" s="76" customFormat="1" ht="19.5" customHeight="1">
      <c r="A124" s="95" t="s">
        <v>23</v>
      </c>
      <c r="B124" s="394" t="s">
        <v>176</v>
      </c>
      <c r="C124" s="62" t="s">
        <v>16</v>
      </c>
      <c r="D124" s="5">
        <v>0.005</v>
      </c>
      <c r="E124" s="5">
        <v>0.018</v>
      </c>
      <c r="F124" s="5">
        <v>0.037</v>
      </c>
      <c r="G124" s="5">
        <v>0.026</v>
      </c>
      <c r="H124" s="5"/>
      <c r="I124" s="5"/>
      <c r="J124" s="5"/>
      <c r="K124" s="5">
        <v>0.012</v>
      </c>
      <c r="L124" s="5">
        <v>0.0026</v>
      </c>
      <c r="M124" s="5">
        <v>0.026</v>
      </c>
      <c r="N124" s="5">
        <v>0.0137</v>
      </c>
      <c r="O124" s="5">
        <v>0.0706</v>
      </c>
      <c r="P124" s="15">
        <f>SUM(D124:O124)</f>
        <v>0.21089999999999998</v>
      </c>
    </row>
    <row r="125" spans="1:16" s="76" customFormat="1" ht="19.5" customHeight="1">
      <c r="A125" s="57"/>
      <c r="B125" s="395"/>
      <c r="C125" s="91" t="s">
        <v>18</v>
      </c>
      <c r="D125" s="34">
        <v>23.625</v>
      </c>
      <c r="E125" s="34">
        <v>1.89</v>
      </c>
      <c r="F125" s="34">
        <v>3.885</v>
      </c>
      <c r="G125" s="34">
        <v>2.808</v>
      </c>
      <c r="H125" s="34"/>
      <c r="I125" s="34"/>
      <c r="J125" s="34"/>
      <c r="K125" s="34">
        <v>1.296</v>
      </c>
      <c r="L125" s="34">
        <v>0.281</v>
      </c>
      <c r="M125" s="34">
        <v>1.404</v>
      </c>
      <c r="N125" s="34">
        <v>34.549</v>
      </c>
      <c r="O125" s="34">
        <v>326.679</v>
      </c>
      <c r="P125" s="92">
        <f>SUM(D125:O125)</f>
        <v>396.417</v>
      </c>
    </row>
    <row r="126" spans="1:16" s="76" customFormat="1" ht="19.5" customHeight="1">
      <c r="A126" s="57"/>
      <c r="B126" s="59" t="s">
        <v>20</v>
      </c>
      <c r="C126" s="62" t="s">
        <v>16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15"/>
    </row>
    <row r="127" spans="1:16" s="76" customFormat="1" ht="19.5" customHeight="1">
      <c r="A127" s="57"/>
      <c r="B127" s="91" t="s">
        <v>73</v>
      </c>
      <c r="C127" s="91" t="s">
        <v>18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92"/>
    </row>
    <row r="128" spans="1:16" s="76" customFormat="1" ht="19.5" customHeight="1">
      <c r="A128" s="57"/>
      <c r="B128" s="388" t="s">
        <v>177</v>
      </c>
      <c r="C128" s="62" t="s">
        <v>16</v>
      </c>
      <c r="D128" s="5">
        <f>+D106+D108+D110+D112+D114+D116+D118+D120+D122+D124+D126</f>
        <v>6.8773</v>
      </c>
      <c r="E128" s="5">
        <f aca="true" t="shared" si="9" ref="E128:G129">+E106+E108+E110+E112+E114+E116+E118+E120+E122+E124+E126</f>
        <v>0.67</v>
      </c>
      <c r="F128" s="5">
        <f t="shared" si="9"/>
        <v>0.6883</v>
      </c>
      <c r="G128" s="5">
        <f t="shared" si="9"/>
        <v>1.1414</v>
      </c>
      <c r="H128" s="5">
        <f aca="true" t="shared" si="10" ref="H128:O129">+H106+H108+H110+H112+H114+H116+H118+H120+H122+H124+H126</f>
        <v>2.3712</v>
      </c>
      <c r="I128" s="5">
        <f t="shared" si="10"/>
        <v>2.4587</v>
      </c>
      <c r="J128" s="5">
        <f>+J106+J108+J110+J112+J114+J116+J118+J120+J122+J124+J126</f>
        <v>1.7982</v>
      </c>
      <c r="K128" s="5">
        <f t="shared" si="10"/>
        <v>1.0598</v>
      </c>
      <c r="L128" s="83">
        <f t="shared" si="10"/>
        <v>2.4255</v>
      </c>
      <c r="M128" s="83">
        <f t="shared" si="10"/>
        <v>0.6401</v>
      </c>
      <c r="N128" s="83">
        <f t="shared" si="10"/>
        <v>1.2977</v>
      </c>
      <c r="O128" s="5">
        <f t="shared" si="10"/>
        <v>1.2985</v>
      </c>
      <c r="P128" s="15">
        <f>SUM(D128:O128)</f>
        <v>22.726699999999997</v>
      </c>
    </row>
    <row r="129" spans="1:16" s="76" customFormat="1" ht="19.5" customHeight="1">
      <c r="A129" s="90"/>
      <c r="B129" s="389"/>
      <c r="C129" s="91" t="s">
        <v>18</v>
      </c>
      <c r="D129" s="34">
        <f>+D107+D109+D111+D113+D115+D117+D119+D121+D123+D125+D127</f>
        <v>2909.357</v>
      </c>
      <c r="E129" s="34">
        <f t="shared" si="9"/>
        <v>3253.8059999999996</v>
      </c>
      <c r="F129" s="34">
        <f t="shared" si="9"/>
        <v>353.022</v>
      </c>
      <c r="G129" s="34">
        <f t="shared" si="9"/>
        <v>693.92</v>
      </c>
      <c r="H129" s="34">
        <f t="shared" si="10"/>
        <v>1871.709</v>
      </c>
      <c r="I129" s="34">
        <f t="shared" si="10"/>
        <v>1883.128</v>
      </c>
      <c r="J129" s="34">
        <f>+J107+J109+J111+J113+J115+J117+J119+J121+J123+J125+J127</f>
        <v>1854.058</v>
      </c>
      <c r="K129" s="34">
        <f t="shared" si="10"/>
        <v>581.838</v>
      </c>
      <c r="L129" s="34">
        <f t="shared" si="10"/>
        <v>962.9939999999999</v>
      </c>
      <c r="M129" s="34">
        <f t="shared" si="10"/>
        <v>398.196</v>
      </c>
      <c r="N129" s="34">
        <f t="shared" si="10"/>
        <v>988.8480000000001</v>
      </c>
      <c r="O129" s="34">
        <f t="shared" si="10"/>
        <v>3640.726</v>
      </c>
      <c r="P129" s="92">
        <f>SUM(D129:O129)</f>
        <v>19391.602</v>
      </c>
    </row>
    <row r="130" spans="1:16" s="76" customFormat="1" ht="19.5" customHeight="1">
      <c r="A130" s="89" t="s">
        <v>0</v>
      </c>
      <c r="B130" s="394" t="s">
        <v>74</v>
      </c>
      <c r="C130" s="62" t="s">
        <v>16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15"/>
    </row>
    <row r="131" spans="1:16" s="76" customFormat="1" ht="19.5" customHeight="1">
      <c r="A131" s="89" t="s">
        <v>0</v>
      </c>
      <c r="B131" s="395"/>
      <c r="C131" s="91" t="s">
        <v>18</v>
      </c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92"/>
    </row>
    <row r="132" spans="1:16" s="76" customFormat="1" ht="19.5" customHeight="1">
      <c r="A132" s="95" t="s">
        <v>75</v>
      </c>
      <c r="B132" s="394" t="s">
        <v>76</v>
      </c>
      <c r="C132" s="62" t="s">
        <v>16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15"/>
    </row>
    <row r="133" spans="1:16" s="76" customFormat="1" ht="19.5" customHeight="1">
      <c r="A133" s="95"/>
      <c r="B133" s="395"/>
      <c r="C133" s="91" t="s">
        <v>18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92"/>
    </row>
    <row r="134" spans="1:16" s="76" customFormat="1" ht="19.5" customHeight="1">
      <c r="A134" s="95" t="s">
        <v>77</v>
      </c>
      <c r="B134" s="59" t="s">
        <v>20</v>
      </c>
      <c r="C134" s="198" t="s">
        <v>16</v>
      </c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200"/>
    </row>
    <row r="135" spans="1:16" s="76" customFormat="1" ht="19.5" customHeight="1">
      <c r="A135" s="95"/>
      <c r="B135" s="59" t="s">
        <v>178</v>
      </c>
      <c r="C135" s="62" t="s">
        <v>79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15"/>
    </row>
    <row r="136" spans="1:16" s="76" customFormat="1" ht="19.5" customHeight="1">
      <c r="A136" s="95" t="s">
        <v>23</v>
      </c>
      <c r="B136" s="34"/>
      <c r="C136" s="91" t="s">
        <v>18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92"/>
    </row>
    <row r="137" spans="1:16" s="76" customFormat="1" ht="19.5" customHeight="1">
      <c r="A137" s="95"/>
      <c r="B137" s="93" t="s">
        <v>0</v>
      </c>
      <c r="C137" s="198" t="s">
        <v>16</v>
      </c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200"/>
    </row>
    <row r="138" spans="1:16" s="76" customFormat="1" ht="19.5" customHeight="1">
      <c r="A138" s="57"/>
      <c r="B138" s="94" t="s">
        <v>179</v>
      </c>
      <c r="C138" s="62" t="s">
        <v>79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15"/>
    </row>
    <row r="139" spans="1:16" s="76" customFormat="1" ht="19.5" customHeight="1">
      <c r="A139" s="90"/>
      <c r="B139" s="34"/>
      <c r="C139" s="91" t="s">
        <v>18</v>
      </c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92"/>
    </row>
    <row r="140" spans="1:16" s="76" customFormat="1" ht="19.5" customHeight="1">
      <c r="A140" s="57"/>
      <c r="B140" s="58" t="s">
        <v>0</v>
      </c>
      <c r="C140" s="198" t="s">
        <v>16</v>
      </c>
      <c r="D140" s="199">
        <f aca="true" t="shared" si="11" ref="D140:M140">D137+D128+D104</f>
        <v>13.299900000000001</v>
      </c>
      <c r="E140" s="199">
        <f t="shared" si="11"/>
        <v>4.9082</v>
      </c>
      <c r="F140" s="199">
        <f t="shared" si="11"/>
        <v>5.4488</v>
      </c>
      <c r="G140" s="199">
        <f t="shared" si="11"/>
        <v>8.7771</v>
      </c>
      <c r="H140" s="199">
        <f t="shared" si="11"/>
        <v>12.135699999999998</v>
      </c>
      <c r="I140" s="199">
        <f t="shared" si="11"/>
        <v>40.050000000000004</v>
      </c>
      <c r="J140" s="199">
        <f t="shared" si="11"/>
        <v>31.081899999999997</v>
      </c>
      <c r="K140" s="199">
        <f t="shared" si="11"/>
        <v>13.3289</v>
      </c>
      <c r="L140" s="199">
        <f t="shared" si="11"/>
        <v>11.5895</v>
      </c>
      <c r="M140" s="199">
        <f t="shared" si="11"/>
        <v>3.4274999999999998</v>
      </c>
      <c r="N140" s="199">
        <f>N137+N128+N104</f>
        <v>4.714</v>
      </c>
      <c r="O140" s="199">
        <f>O137+O128+O104</f>
        <v>4.0076</v>
      </c>
      <c r="P140" s="200">
        <f>SUM(D140:O140)</f>
        <v>152.76909999999998</v>
      </c>
    </row>
    <row r="141" spans="1:16" s="76" customFormat="1" ht="19.5" customHeight="1">
      <c r="A141" s="57"/>
      <c r="B141" s="61" t="s">
        <v>161</v>
      </c>
      <c r="C141" s="62" t="s">
        <v>79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15"/>
    </row>
    <row r="142" spans="1:16" s="76" customFormat="1" ht="19.5" customHeight="1" thickBot="1">
      <c r="A142" s="63"/>
      <c r="B142" s="64"/>
      <c r="C142" s="65" t="s">
        <v>18</v>
      </c>
      <c r="D142" s="6">
        <f aca="true" t="shared" si="12" ref="D142:M142">D139+D129+D105</f>
        <v>6753.382</v>
      </c>
      <c r="E142" s="6">
        <f t="shared" si="12"/>
        <v>6278.594999999999</v>
      </c>
      <c r="F142" s="6">
        <f t="shared" si="12"/>
        <v>4549.381</v>
      </c>
      <c r="G142" s="6">
        <f t="shared" si="12"/>
        <v>6599.604</v>
      </c>
      <c r="H142" s="6">
        <f t="shared" si="12"/>
        <v>8288.709</v>
      </c>
      <c r="I142" s="6">
        <f t="shared" si="12"/>
        <v>17568.115</v>
      </c>
      <c r="J142" s="6">
        <f t="shared" si="12"/>
        <v>19622.718</v>
      </c>
      <c r="K142" s="6">
        <f t="shared" si="12"/>
        <v>13640.762999999999</v>
      </c>
      <c r="L142" s="6">
        <f t="shared" si="12"/>
        <v>10986.241</v>
      </c>
      <c r="M142" s="6">
        <f t="shared" si="12"/>
        <v>3291.153</v>
      </c>
      <c r="N142" s="6">
        <f>N139+N129+N105</f>
        <v>3900.674</v>
      </c>
      <c r="O142" s="6">
        <f>O139+O129+O105</f>
        <v>5630.481</v>
      </c>
      <c r="P142" s="7">
        <f>SUM(D142:O142)</f>
        <v>107109.81600000002</v>
      </c>
    </row>
    <row r="143" spans="1:16" s="76" customFormat="1" ht="18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85"/>
      <c r="P143" s="173" t="s">
        <v>92</v>
      </c>
    </row>
    <row r="144" spans="1:16" s="76" customFormat="1" ht="18.7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171"/>
    </row>
    <row r="145" spans="1:16" s="76" customFormat="1" ht="18.75">
      <c r="A145" s="70"/>
      <c r="B145" s="70"/>
      <c r="C145" s="70"/>
      <c r="D145" s="70"/>
      <c r="E145" s="70"/>
      <c r="F145" s="70"/>
      <c r="G145" s="70"/>
      <c r="H145" s="24"/>
      <c r="I145" s="70"/>
      <c r="J145" s="70"/>
      <c r="K145" s="70"/>
      <c r="L145" s="70"/>
      <c r="M145" s="70"/>
      <c r="N145" s="70"/>
      <c r="O145" s="70"/>
      <c r="P145" s="171"/>
    </row>
    <row r="146" spans="1:16" s="76" customFormat="1" ht="18.75">
      <c r="A146" s="70"/>
      <c r="B146" s="70"/>
      <c r="C146" s="70"/>
      <c r="D146" s="70"/>
      <c r="E146" s="70"/>
      <c r="F146" s="70"/>
      <c r="G146" s="70"/>
      <c r="H146" s="24"/>
      <c r="I146" s="70"/>
      <c r="J146" s="70"/>
      <c r="K146" s="70"/>
      <c r="L146" s="70"/>
      <c r="M146" s="70"/>
      <c r="N146" s="70"/>
      <c r="O146" s="70"/>
      <c r="P146" s="171"/>
    </row>
    <row r="147" spans="1:16" s="76" customFormat="1" ht="18.75">
      <c r="A147" s="70"/>
      <c r="B147" s="70"/>
      <c r="C147" s="70"/>
      <c r="D147" s="70"/>
      <c r="E147" s="70"/>
      <c r="F147" s="70"/>
      <c r="G147" s="70"/>
      <c r="H147" s="24"/>
      <c r="I147" s="70"/>
      <c r="J147" s="70"/>
      <c r="K147" s="70"/>
      <c r="L147" s="70"/>
      <c r="M147" s="70"/>
      <c r="N147" s="70"/>
      <c r="O147" s="70"/>
      <c r="P147" s="171"/>
    </row>
    <row r="148" spans="1:16" s="76" customFormat="1" ht="18.7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171"/>
    </row>
    <row r="149" spans="1:16" s="76" customFormat="1" ht="18.7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171"/>
    </row>
    <row r="150" spans="1:16" s="76" customFormat="1" ht="18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171"/>
    </row>
    <row r="151" spans="1:16" s="76" customFormat="1" ht="18.7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171"/>
    </row>
    <row r="152" spans="1:16" s="76" customFormat="1" ht="18.7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171"/>
    </row>
    <row r="153" spans="1:16" s="76" customFormat="1" ht="18.7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171"/>
    </row>
    <row r="154" spans="1:16" s="76" customFormat="1" ht="18.7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171"/>
    </row>
    <row r="155" spans="1:16" s="76" customFormat="1" ht="18.7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171"/>
    </row>
    <row r="156" spans="1:16" s="76" customFormat="1" ht="18.7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171"/>
    </row>
    <row r="157" spans="1:16" s="76" customFormat="1" ht="18.7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171"/>
    </row>
    <row r="158" spans="1:16" s="76" customFormat="1" ht="18.7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171"/>
    </row>
    <row r="159" spans="1:16" s="76" customFormat="1" ht="18.7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171"/>
    </row>
    <row r="160" spans="1:16" s="76" customFormat="1" ht="18.7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171"/>
    </row>
    <row r="161" spans="1:16" s="76" customFormat="1" ht="18.7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171"/>
    </row>
    <row r="162" spans="1:16" s="76" customFormat="1" ht="18.7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171"/>
    </row>
    <row r="163" spans="1:16" s="76" customFormat="1" ht="18.7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171"/>
    </row>
    <row r="164" spans="1:16" s="76" customFormat="1" ht="18.7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171"/>
    </row>
    <row r="165" spans="1:16" s="76" customFormat="1" ht="18.7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171"/>
    </row>
    <row r="166" spans="1:16" s="76" customFormat="1" ht="18.7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171"/>
    </row>
    <row r="167" spans="1:16" s="76" customFormat="1" ht="18.7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171"/>
    </row>
    <row r="168" spans="1:16" s="76" customFormat="1" ht="18.7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171"/>
    </row>
    <row r="169" spans="1:16" s="76" customFormat="1" ht="18.7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171"/>
    </row>
    <row r="170" spans="1:16" s="76" customFormat="1" ht="18.7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171"/>
    </row>
    <row r="171" spans="1:16" s="76" customFormat="1" ht="18.7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171"/>
    </row>
    <row r="172" spans="1:16" s="76" customFormat="1" ht="18.7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171"/>
    </row>
    <row r="173" spans="1:16" s="76" customFormat="1" ht="18.7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171"/>
    </row>
    <row r="174" spans="1:16" s="76" customFormat="1" ht="18.7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171"/>
    </row>
    <row r="175" spans="1:16" s="76" customFormat="1" ht="18.7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171"/>
    </row>
    <row r="176" spans="1:16" s="76" customFormat="1" ht="18.7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171"/>
    </row>
    <row r="177" spans="1:16" s="76" customFormat="1" ht="18.7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171"/>
    </row>
    <row r="178" spans="1:16" s="76" customFormat="1" ht="18.7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171"/>
    </row>
    <row r="179" spans="1:16" s="76" customFormat="1" ht="18.7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171"/>
    </row>
    <row r="180" spans="1:16" s="76" customFormat="1" ht="18.7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171"/>
    </row>
    <row r="181" spans="1:16" s="76" customFormat="1" ht="18.7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171"/>
    </row>
    <row r="182" spans="1:16" s="76" customFormat="1" ht="18.7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171"/>
    </row>
    <row r="183" spans="1:16" s="76" customFormat="1" ht="18.7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171"/>
    </row>
    <row r="184" spans="1:16" s="76" customFormat="1" ht="18.7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171"/>
    </row>
    <row r="185" spans="1:16" s="76" customFormat="1" ht="18.7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171"/>
    </row>
    <row r="186" spans="1:16" s="76" customFormat="1" ht="18.7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171"/>
    </row>
    <row r="187" spans="1:16" s="76" customFormat="1" ht="18.7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171"/>
    </row>
    <row r="188" spans="1:16" s="76" customFormat="1" ht="18.7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171"/>
    </row>
    <row r="189" spans="1:16" s="76" customFormat="1" ht="18.7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171"/>
    </row>
    <row r="190" spans="1:16" s="76" customFormat="1" ht="18.7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171"/>
    </row>
    <row r="191" spans="1:16" s="76" customFormat="1" ht="18.7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171"/>
    </row>
    <row r="192" spans="1:16" s="76" customFormat="1" ht="18.7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171"/>
    </row>
    <row r="193" spans="1:16" s="76" customFormat="1" ht="18.7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171"/>
    </row>
    <row r="194" spans="1:16" s="76" customFormat="1" ht="18.7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171"/>
    </row>
    <row r="195" spans="1:16" s="76" customFormat="1" ht="18.7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171"/>
    </row>
    <row r="196" spans="1:16" s="76" customFormat="1" ht="18.7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171"/>
    </row>
    <row r="197" spans="1:16" s="76" customFormat="1" ht="18.7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171"/>
    </row>
    <row r="198" spans="1:16" s="76" customFormat="1" ht="18.7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171"/>
    </row>
    <row r="199" spans="1:16" s="76" customFormat="1" ht="18.7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171"/>
    </row>
    <row r="200" spans="1:16" s="76" customFormat="1" ht="18.7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171"/>
    </row>
    <row r="201" spans="1:16" s="76" customFormat="1" ht="18.7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171"/>
    </row>
    <row r="202" spans="1:16" s="76" customFormat="1" ht="18.7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171"/>
    </row>
    <row r="203" spans="1:16" s="76" customFormat="1" ht="18.7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171"/>
    </row>
    <row r="204" spans="1:16" s="76" customFormat="1" ht="18.7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171"/>
    </row>
    <row r="205" spans="1:16" s="76" customFormat="1" ht="18.7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171"/>
    </row>
    <row r="206" spans="1:16" s="76" customFormat="1" ht="18.7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171"/>
    </row>
    <row r="207" spans="1:16" s="76" customFormat="1" ht="18.7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171"/>
    </row>
    <row r="208" spans="1:16" s="76" customFormat="1" ht="18.7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171"/>
    </row>
    <row r="209" spans="1:16" s="76" customFormat="1" ht="18.7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171"/>
    </row>
    <row r="210" spans="1:16" s="76" customFormat="1" ht="18.7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171"/>
    </row>
    <row r="211" spans="1:16" s="76" customFormat="1" ht="18.7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171"/>
    </row>
    <row r="212" spans="1:16" s="76" customFormat="1" ht="18.7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171"/>
    </row>
    <row r="213" spans="1:16" s="76" customFormat="1" ht="18.7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171"/>
    </row>
    <row r="214" spans="1:16" s="76" customFormat="1" ht="18.7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171"/>
    </row>
    <row r="215" spans="1:16" s="76" customFormat="1" ht="18.7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171"/>
    </row>
    <row r="216" spans="1:16" s="76" customFormat="1" ht="18.7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171"/>
    </row>
    <row r="217" spans="1:16" s="76" customFormat="1" ht="18.7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171"/>
    </row>
    <row r="218" spans="1:16" s="76" customFormat="1" ht="18.7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171"/>
    </row>
    <row r="219" spans="1:16" s="76" customFormat="1" ht="18.7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171"/>
    </row>
    <row r="220" spans="1:16" s="76" customFormat="1" ht="18.7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171"/>
    </row>
    <row r="221" spans="1:16" s="76" customFormat="1" ht="18.7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171"/>
    </row>
    <row r="222" spans="1:16" s="76" customFormat="1" ht="18.7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171"/>
    </row>
    <row r="223" spans="1:16" s="76" customFormat="1" ht="18.7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171"/>
    </row>
    <row r="224" spans="1:16" s="76" customFormat="1" ht="18.7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171"/>
    </row>
    <row r="225" spans="1:16" s="76" customFormat="1" ht="18.7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171"/>
    </row>
    <row r="226" spans="1:16" s="76" customFormat="1" ht="18.7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171"/>
    </row>
    <row r="227" spans="1:16" s="76" customFormat="1" ht="18.7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171"/>
    </row>
    <row r="228" spans="1:16" s="76" customFormat="1" ht="18.7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171"/>
    </row>
    <row r="229" spans="1:16" s="76" customFormat="1" ht="18.7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171"/>
    </row>
    <row r="230" spans="1:16" s="76" customFormat="1" ht="18.7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171"/>
    </row>
    <row r="231" spans="1:16" s="76" customFormat="1" ht="18.7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171"/>
    </row>
    <row r="232" spans="1:16" s="76" customFormat="1" ht="18.7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171"/>
    </row>
    <row r="233" spans="1:16" s="76" customFormat="1" ht="18.7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171"/>
    </row>
    <row r="234" spans="1:16" s="76" customFormat="1" ht="18.75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171"/>
    </row>
    <row r="235" spans="1:16" s="76" customFormat="1" ht="18.7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171"/>
    </row>
    <row r="236" spans="1:16" s="76" customFormat="1" ht="18.75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171"/>
    </row>
    <row r="237" spans="1:16" s="76" customFormat="1" ht="18.75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171"/>
    </row>
    <row r="238" spans="1:16" s="76" customFormat="1" ht="18.7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171"/>
    </row>
    <row r="239" spans="1:16" s="76" customFormat="1" ht="18.75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171"/>
    </row>
    <row r="240" spans="1:16" s="76" customFormat="1" ht="18.75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171"/>
    </row>
    <row r="241" spans="1:16" s="76" customFormat="1" ht="18.7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171"/>
    </row>
    <row r="242" spans="1:16" s="76" customFormat="1" ht="18.75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171"/>
    </row>
    <row r="243" spans="1:16" s="76" customFormat="1" ht="18.75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171"/>
    </row>
    <row r="244" spans="1:16" s="76" customFormat="1" ht="18.75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171"/>
    </row>
    <row r="245" spans="1:16" s="76" customFormat="1" ht="18.7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171"/>
    </row>
    <row r="246" spans="1:16" s="76" customFormat="1" ht="18.75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171"/>
    </row>
    <row r="247" spans="1:16" s="76" customFormat="1" ht="18.75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171"/>
    </row>
    <row r="248" spans="1:16" s="76" customFormat="1" ht="18.75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171"/>
    </row>
    <row r="249" spans="1:16" s="76" customFormat="1" ht="18.75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171"/>
    </row>
    <row r="250" spans="1:16" s="76" customFormat="1" ht="18.75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171"/>
    </row>
    <row r="251" spans="1:16" s="76" customFormat="1" ht="18.75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171"/>
    </row>
    <row r="252" spans="1:16" s="76" customFormat="1" ht="18.75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171"/>
    </row>
    <row r="253" spans="1:16" s="76" customFormat="1" ht="18.75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171"/>
    </row>
    <row r="254" spans="1:16" s="76" customFormat="1" ht="18.75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171"/>
    </row>
    <row r="255" spans="1:16" s="76" customFormat="1" ht="18.7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171"/>
    </row>
    <row r="256" spans="1:16" s="76" customFormat="1" ht="18.75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171"/>
    </row>
    <row r="257" spans="1:16" s="76" customFormat="1" ht="18.75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171"/>
    </row>
    <row r="258" spans="1:16" s="76" customFormat="1" ht="18.75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171"/>
    </row>
    <row r="259" spans="1:16" s="76" customFormat="1" ht="18.75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171"/>
    </row>
    <row r="260" spans="1:16" s="76" customFormat="1" ht="18.75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171"/>
    </row>
    <row r="261" spans="1:16" s="76" customFormat="1" ht="18.75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171"/>
    </row>
    <row r="262" spans="1:16" s="76" customFormat="1" ht="18.75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171"/>
    </row>
    <row r="263" spans="1:16" s="76" customFormat="1" ht="18.75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171"/>
    </row>
    <row r="264" spans="1:16" s="76" customFormat="1" ht="18.75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171"/>
    </row>
    <row r="265" spans="1:16" s="76" customFormat="1" ht="18.7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171"/>
    </row>
    <row r="266" spans="1:16" s="76" customFormat="1" ht="18.75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171"/>
    </row>
    <row r="267" spans="1:16" s="76" customFormat="1" ht="18.75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171"/>
    </row>
    <row r="268" spans="1:16" s="76" customFormat="1" ht="18.75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171"/>
    </row>
    <row r="269" spans="1:16" s="76" customFormat="1" ht="18.75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171"/>
    </row>
    <row r="270" spans="1:16" s="76" customFormat="1" ht="18.75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171"/>
    </row>
    <row r="271" spans="1:16" s="76" customFormat="1" ht="18.75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171"/>
    </row>
    <row r="272" spans="1:16" s="76" customFormat="1" ht="18.75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171"/>
    </row>
    <row r="273" spans="1:16" s="76" customFormat="1" ht="18.75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171"/>
    </row>
    <row r="274" spans="1:16" s="76" customFormat="1" ht="18.75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171"/>
    </row>
    <row r="275" spans="1:16" s="76" customFormat="1" ht="18.75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171"/>
    </row>
    <row r="276" spans="1:16" s="76" customFormat="1" ht="18.75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171"/>
    </row>
    <row r="277" spans="1:16" s="76" customFormat="1" ht="18.75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171"/>
    </row>
    <row r="278" spans="1:16" s="76" customFormat="1" ht="18.75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171"/>
    </row>
    <row r="279" spans="1:16" s="76" customFormat="1" ht="18.75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171"/>
    </row>
    <row r="280" spans="1:16" s="76" customFormat="1" ht="18.75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171"/>
    </row>
    <row r="281" spans="1:16" s="76" customFormat="1" ht="18.75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171"/>
    </row>
    <row r="282" spans="1:16" s="76" customFormat="1" ht="18.75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171"/>
    </row>
    <row r="283" spans="1:16" s="76" customFormat="1" ht="18.75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171"/>
    </row>
    <row r="284" spans="1:16" s="76" customFormat="1" ht="18.75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171"/>
    </row>
    <row r="285" spans="1:16" s="76" customFormat="1" ht="18.7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171"/>
    </row>
    <row r="286" spans="1:16" s="76" customFormat="1" ht="18.75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171"/>
    </row>
    <row r="287" spans="1:16" s="76" customFormat="1" ht="18.75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171"/>
    </row>
    <row r="288" spans="1:16" s="76" customFormat="1" ht="18.75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171"/>
    </row>
    <row r="289" spans="1:16" s="76" customFormat="1" ht="18.75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171"/>
    </row>
    <row r="290" spans="1:16" s="76" customFormat="1" ht="18.75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171"/>
    </row>
    <row r="291" spans="1:16" s="76" customFormat="1" ht="18.75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171"/>
    </row>
    <row r="292" spans="1:16" s="76" customFormat="1" ht="18.75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171"/>
    </row>
    <row r="293" spans="1:16" s="76" customFormat="1" ht="18.7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171"/>
    </row>
    <row r="294" spans="1:16" s="76" customFormat="1" ht="18.75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171"/>
    </row>
    <row r="295" spans="1:16" s="76" customFormat="1" ht="18.7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171"/>
    </row>
    <row r="296" spans="1:16" s="76" customFormat="1" ht="18.75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171"/>
    </row>
    <row r="297" spans="1:16" s="76" customFormat="1" ht="18.7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171"/>
    </row>
    <row r="298" spans="1:16" s="76" customFormat="1" ht="18.75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171"/>
    </row>
    <row r="299" spans="1:16" s="76" customFormat="1" ht="18.7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171"/>
    </row>
    <row r="300" spans="1:16" s="76" customFormat="1" ht="18.7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171"/>
    </row>
    <row r="301" spans="1:16" s="76" customFormat="1" ht="18.7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171"/>
    </row>
    <row r="302" spans="1:16" s="76" customFormat="1" ht="18.7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171"/>
    </row>
    <row r="303" spans="1:16" s="76" customFormat="1" ht="18.7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171"/>
    </row>
    <row r="304" spans="1:16" s="76" customFormat="1" ht="18.7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171"/>
    </row>
    <row r="305" spans="1:16" s="76" customFormat="1" ht="18.7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171"/>
    </row>
    <row r="306" spans="1:16" s="76" customFormat="1" ht="18.75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171"/>
    </row>
    <row r="307" spans="1:16" s="76" customFormat="1" ht="18.75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171"/>
    </row>
    <row r="308" spans="1:16" s="76" customFormat="1" ht="18.7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171"/>
    </row>
    <row r="309" spans="1:16" s="76" customFormat="1" ht="18.7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171"/>
    </row>
    <row r="310" spans="1:16" s="76" customFormat="1" ht="18.7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171"/>
    </row>
    <row r="311" spans="1:16" s="76" customFormat="1" ht="18.75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171"/>
    </row>
    <row r="312" spans="1:16" s="76" customFormat="1" ht="18.75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171"/>
    </row>
    <row r="313" spans="1:16" s="76" customFormat="1" ht="18.75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171"/>
    </row>
    <row r="314" spans="1:16" s="76" customFormat="1" ht="18.7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171"/>
    </row>
    <row r="315" spans="1:16" s="76" customFormat="1" ht="18.7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171"/>
    </row>
    <row r="316" spans="1:16" s="76" customFormat="1" ht="18.75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171"/>
    </row>
    <row r="317" spans="1:16" s="76" customFormat="1" ht="18.7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171"/>
    </row>
    <row r="318" spans="1:16" s="76" customFormat="1" ht="18.75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171"/>
    </row>
    <row r="319" spans="1:16" s="76" customFormat="1" ht="18.7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171"/>
    </row>
    <row r="320" spans="1:16" s="76" customFormat="1" ht="18.75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171"/>
    </row>
    <row r="321" spans="1:16" s="76" customFormat="1" ht="18.75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171"/>
    </row>
    <row r="322" spans="1:16" s="76" customFormat="1" ht="18.75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171"/>
    </row>
    <row r="323" spans="1:16" s="76" customFormat="1" ht="18.75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171"/>
    </row>
    <row r="324" spans="1:16" s="76" customFormat="1" ht="18.75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171"/>
    </row>
    <row r="325" spans="1:16" s="76" customFormat="1" ht="18.75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171"/>
    </row>
    <row r="326" spans="1:16" s="76" customFormat="1" ht="18.75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171"/>
    </row>
    <row r="327" spans="1:16" s="76" customFormat="1" ht="18.75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171"/>
    </row>
    <row r="328" spans="1:16" s="76" customFormat="1" ht="18.75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171"/>
    </row>
    <row r="329" spans="1:16" s="76" customFormat="1" ht="18.75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171"/>
    </row>
    <row r="330" spans="1:16" s="76" customFormat="1" ht="18.75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171"/>
    </row>
    <row r="331" spans="1:16" s="76" customFormat="1" ht="18.75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171"/>
    </row>
    <row r="332" spans="1:16" s="76" customFormat="1" ht="18.75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171"/>
    </row>
    <row r="333" spans="1:16" s="76" customFormat="1" ht="18.75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171"/>
    </row>
    <row r="334" spans="1:16" s="76" customFormat="1" ht="18.75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171"/>
    </row>
    <row r="335" spans="1:16" s="76" customFormat="1" ht="18.75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171"/>
    </row>
    <row r="336" spans="1:16" s="76" customFormat="1" ht="18.75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171"/>
    </row>
    <row r="337" spans="1:16" s="76" customFormat="1" ht="18.75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171"/>
    </row>
    <row r="338" spans="1:16" s="76" customFormat="1" ht="18.75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171"/>
    </row>
    <row r="339" spans="1:16" s="76" customFormat="1" ht="18.75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171"/>
    </row>
    <row r="340" spans="1:16" s="76" customFormat="1" ht="18.75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171"/>
    </row>
    <row r="341" spans="1:16" s="76" customFormat="1" ht="18.75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171"/>
    </row>
    <row r="342" spans="1:16" s="76" customFormat="1" ht="18.75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171"/>
    </row>
    <row r="343" spans="1:16" s="76" customFormat="1" ht="18.75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171"/>
    </row>
    <row r="344" spans="1:16" s="76" customFormat="1" ht="18.75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171"/>
    </row>
    <row r="345" spans="1:16" s="76" customFormat="1" ht="18.7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171"/>
    </row>
    <row r="346" spans="1:16" s="76" customFormat="1" ht="18.75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171"/>
    </row>
    <row r="347" spans="1:16" s="76" customFormat="1" ht="18.75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171"/>
    </row>
    <row r="348" spans="1:16" s="76" customFormat="1" ht="18.75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171"/>
    </row>
    <row r="349" spans="1:16" s="76" customFormat="1" ht="18.75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171"/>
    </row>
    <row r="350" spans="1:16" s="76" customFormat="1" ht="18.75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171"/>
    </row>
    <row r="351" spans="1:16" s="76" customFormat="1" ht="18.75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171"/>
    </row>
    <row r="352" spans="1:16" s="76" customFormat="1" ht="18.75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171"/>
    </row>
    <row r="353" spans="1:16" s="76" customFormat="1" ht="18.75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171"/>
    </row>
    <row r="354" spans="1:16" s="76" customFormat="1" ht="18.75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171"/>
    </row>
    <row r="355" spans="1:16" s="76" customFormat="1" ht="18.75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171"/>
    </row>
    <row r="356" spans="1:16" s="76" customFormat="1" ht="18.75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171"/>
    </row>
    <row r="357" spans="1:16" s="76" customFormat="1" ht="18.75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171"/>
    </row>
    <row r="358" spans="1:16" s="76" customFormat="1" ht="18.75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171"/>
    </row>
  </sheetData>
  <sheetProtection/>
  <mergeCells count="51">
    <mergeCell ref="B5:B6"/>
    <mergeCell ref="B9:B10"/>
    <mergeCell ref="A11:B12"/>
    <mergeCell ref="B13:B14"/>
    <mergeCell ref="B31:B32"/>
    <mergeCell ref="B33:B34"/>
    <mergeCell ref="B15:B16"/>
    <mergeCell ref="B17:B18"/>
    <mergeCell ref="B21:B22"/>
    <mergeCell ref="B23:B24"/>
    <mergeCell ref="B25:B26"/>
    <mergeCell ref="B29:B30"/>
    <mergeCell ref="B37:B38"/>
    <mergeCell ref="A39:B40"/>
    <mergeCell ref="A41:B42"/>
    <mergeCell ref="A43:B44"/>
    <mergeCell ref="A45:B46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B88:B89"/>
    <mergeCell ref="A90:B91"/>
    <mergeCell ref="A92:B93"/>
    <mergeCell ref="A94:B95"/>
    <mergeCell ref="A96:B97"/>
    <mergeCell ref="B130:B131"/>
    <mergeCell ref="A98:B99"/>
    <mergeCell ref="A100:B101"/>
    <mergeCell ref="A102:B103"/>
    <mergeCell ref="A104:B105"/>
    <mergeCell ref="B106:B107"/>
    <mergeCell ref="B108:B109"/>
    <mergeCell ref="B132:B133"/>
    <mergeCell ref="B118:B119"/>
    <mergeCell ref="B120:B121"/>
    <mergeCell ref="B122:B123"/>
    <mergeCell ref="B124:B125"/>
    <mergeCell ref="B110:B111"/>
    <mergeCell ref="B112:B113"/>
    <mergeCell ref="B114:B115"/>
    <mergeCell ref="B116:B117"/>
    <mergeCell ref="B128:B129"/>
  </mergeCells>
  <printOptions/>
  <pageMargins left="0.7" right="0.7" top="0.75" bottom="0.75" header="0.3" footer="0.3"/>
  <pageSetup firstPageNumber="45" useFirstPageNumber="1" fitToHeight="2" fitToWidth="1" horizontalDpi="600" verticalDpi="600" orientation="landscape" paperSize="9" scale="36" r:id="rId1"/>
  <rowBreaks count="1" manualBreakCount="1">
    <brk id="7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="50" zoomScaleNormal="50" zoomScalePageLayoutView="0" workbookViewId="0" topLeftCell="A1">
      <selection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2.625" style="11" customWidth="1"/>
    <col min="16" max="16" width="25.625" style="37" customWidth="1"/>
    <col min="17" max="16384" width="9.00390625" style="11" customWidth="1"/>
  </cols>
  <sheetData>
    <row r="1" spans="1:16" ht="30.75" customHeight="1">
      <c r="A1" s="375" t="s">
        <v>104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ht="30.75" customHeight="1">
      <c r="B2" s="36"/>
    </row>
    <row r="3" spans="1:15" ht="19.5" customHeight="1" thickBot="1">
      <c r="A3" s="12" t="s">
        <v>87</v>
      </c>
      <c r="B3" s="39"/>
      <c r="C3" s="12"/>
      <c r="O3" s="12" t="s">
        <v>90</v>
      </c>
    </row>
    <row r="4" spans="1:16" ht="19.5" customHeight="1">
      <c r="A4" s="40"/>
      <c r="B4" s="41"/>
      <c r="C4" s="41"/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8</v>
      </c>
      <c r="K4" s="42" t="s">
        <v>9</v>
      </c>
      <c r="L4" s="42" t="s">
        <v>10</v>
      </c>
      <c r="M4" s="42" t="s">
        <v>11</v>
      </c>
      <c r="N4" s="42" t="s">
        <v>12</v>
      </c>
      <c r="O4" s="42" t="s">
        <v>13</v>
      </c>
      <c r="P4" s="43" t="s">
        <v>14</v>
      </c>
    </row>
    <row r="5" spans="1:16" ht="19.5" customHeight="1">
      <c r="A5" s="45" t="s">
        <v>0</v>
      </c>
      <c r="B5" s="382" t="s">
        <v>15</v>
      </c>
      <c r="C5" s="54" t="s">
        <v>16</v>
      </c>
      <c r="D5" s="20">
        <f>+'㈱塩釜'!D5+'機船'!D5</f>
        <v>0.02</v>
      </c>
      <c r="E5" s="20"/>
      <c r="F5" s="20"/>
      <c r="G5" s="20">
        <f>+'㈱塩釜'!G5+'機船'!G5</f>
        <v>0.01</v>
      </c>
      <c r="H5" s="20"/>
      <c r="I5" s="20">
        <f>+'㈱塩釜'!I5+'機船'!I5</f>
        <v>0.07</v>
      </c>
      <c r="J5" s="20">
        <f>+'㈱塩釜'!J5+'機船'!J5</f>
        <v>0.03</v>
      </c>
      <c r="K5" s="20"/>
      <c r="L5" s="20"/>
      <c r="M5" s="20"/>
      <c r="N5" s="20"/>
      <c r="O5" s="20"/>
      <c r="P5" s="8">
        <f aca="true" t="shared" si="0" ref="P5:P68">SUM(D5:O5)</f>
        <v>0.13</v>
      </c>
    </row>
    <row r="6" spans="1:16" ht="19.5" customHeight="1">
      <c r="A6" s="45" t="s">
        <v>17</v>
      </c>
      <c r="B6" s="383"/>
      <c r="C6" s="48" t="s">
        <v>18</v>
      </c>
      <c r="D6" s="25">
        <f>+'㈱塩釜'!D6+'機船'!D6</f>
        <v>4.200000943708666</v>
      </c>
      <c r="E6" s="25"/>
      <c r="F6" s="25"/>
      <c r="G6" s="25">
        <f>+'㈱塩釜'!G6+'機船'!G6</f>
        <v>2.159999963759174</v>
      </c>
      <c r="H6" s="25"/>
      <c r="I6" s="25">
        <f>+'㈱塩釜'!I6+'機船'!I6</f>
        <v>51.30000106748231</v>
      </c>
      <c r="J6" s="25">
        <f>+'㈱塩釜'!J6+'機船'!J6</f>
        <v>21.059999902275003</v>
      </c>
      <c r="K6" s="25"/>
      <c r="L6" s="25"/>
      <c r="M6" s="25"/>
      <c r="N6" s="25"/>
      <c r="O6" s="25"/>
      <c r="P6" s="17">
        <f>SUM(D6:O6)</f>
        <v>78.72000187722516</v>
      </c>
    </row>
    <row r="7" spans="1:16" ht="19.5" customHeight="1">
      <c r="A7" s="45" t="s">
        <v>19</v>
      </c>
      <c r="B7" s="47" t="s">
        <v>20</v>
      </c>
      <c r="C7" s="54" t="s">
        <v>16</v>
      </c>
      <c r="D7" s="26">
        <f>+'㈱塩釜'!D7+'機船'!D7</f>
        <v>0.64</v>
      </c>
      <c r="E7" s="26">
        <f>+'㈱塩釜'!E7+'機船'!E7</f>
        <v>0.105</v>
      </c>
      <c r="F7" s="26">
        <f>+'㈱塩釜'!F7+'機船'!F7</f>
        <v>0.318</v>
      </c>
      <c r="G7" s="26">
        <f>+'㈱塩釜'!G7+'機船'!G7</f>
        <v>0.348</v>
      </c>
      <c r="H7" s="26">
        <f>+'㈱塩釜'!H7+'機船'!H7</f>
        <v>0.356</v>
      </c>
      <c r="I7" s="26">
        <f>+'㈱塩釜'!I7+'機船'!I7</f>
        <v>0.34</v>
      </c>
      <c r="J7" s="26">
        <f>+'㈱塩釜'!J7+'機船'!J7</f>
        <v>0.16</v>
      </c>
      <c r="K7" s="26">
        <f>+'㈱塩釜'!K7+'機船'!K7</f>
        <v>0.024</v>
      </c>
      <c r="L7" s="26">
        <f>+'㈱塩釜'!L7+'機船'!L7</f>
        <v>0.02</v>
      </c>
      <c r="M7" s="26">
        <f>+'㈱塩釜'!M7+'機船'!M7</f>
        <v>0.086</v>
      </c>
      <c r="N7" s="26">
        <f>+'㈱塩釜'!N7+'機船'!N7</f>
        <v>0.001</v>
      </c>
      <c r="O7" s="26">
        <f>+'㈱塩釜'!O7+'機船'!O7</f>
        <v>92.682</v>
      </c>
      <c r="P7" s="8">
        <f t="shared" si="0"/>
        <v>95.08</v>
      </c>
    </row>
    <row r="8" spans="1:16" ht="19.5" customHeight="1">
      <c r="A8" s="45" t="s">
        <v>21</v>
      </c>
      <c r="B8" s="48" t="s">
        <v>153</v>
      </c>
      <c r="C8" s="48" t="s">
        <v>18</v>
      </c>
      <c r="D8" s="25">
        <f>+'㈱塩釜'!D8+'機船'!D8</f>
        <v>218.453</v>
      </c>
      <c r="E8" s="25">
        <f>+'㈱塩釜'!E8+'機船'!E8</f>
        <v>55.02</v>
      </c>
      <c r="F8" s="25">
        <f>+'㈱塩釜'!F8+'機船'!F8</f>
        <v>116.498</v>
      </c>
      <c r="G8" s="25">
        <f>+'㈱塩釜'!G8+'機船'!G8</f>
        <v>109.296</v>
      </c>
      <c r="H8" s="25">
        <f>+'㈱塩釜'!H8+'機船'!H8</f>
        <v>149.04</v>
      </c>
      <c r="I8" s="25">
        <f>+'㈱塩釜'!I8+'機船'!I8</f>
        <v>152.928</v>
      </c>
      <c r="J8" s="25">
        <f>+'㈱塩釜'!J8+'機船'!J8</f>
        <v>72.9</v>
      </c>
      <c r="K8" s="25">
        <f>+'㈱塩釜'!K8+'機船'!K8</f>
        <v>16.416</v>
      </c>
      <c r="L8" s="25">
        <f>+'㈱塩釜'!L8+'機船'!L8</f>
        <v>12.744</v>
      </c>
      <c r="M8" s="25">
        <f>+'㈱塩釜'!M8+'機船'!M8</f>
        <v>38.88</v>
      </c>
      <c r="N8" s="25">
        <f>+'㈱塩釜'!N8+'機船'!N8</f>
        <v>0.108</v>
      </c>
      <c r="O8" s="25">
        <f>+'㈱塩釜'!O8+'機船'!O8</f>
        <v>1816.614</v>
      </c>
      <c r="P8" s="9">
        <f>SUM(D8:O8)</f>
        <v>2758.897</v>
      </c>
    </row>
    <row r="9" spans="1:16" ht="19.5" customHeight="1">
      <c r="A9" s="45" t="s">
        <v>23</v>
      </c>
      <c r="B9" s="380" t="s">
        <v>24</v>
      </c>
      <c r="C9" s="54" t="s">
        <v>16</v>
      </c>
      <c r="D9" s="26">
        <f>+'㈱塩釜'!D9+'機船'!D9</f>
        <v>0.66</v>
      </c>
      <c r="E9" s="26">
        <f>+'㈱塩釜'!E9+'機船'!E9</f>
        <v>0.105</v>
      </c>
      <c r="F9" s="26">
        <f>+'㈱塩釜'!F9+'機船'!F9</f>
        <v>0.318</v>
      </c>
      <c r="G9" s="26">
        <f>+'㈱塩釜'!G9+'機船'!G9</f>
        <v>0.358</v>
      </c>
      <c r="H9" s="26">
        <f>+'㈱塩釜'!H9+'機船'!H9</f>
        <v>0.356</v>
      </c>
      <c r="I9" s="26">
        <f>+'㈱塩釜'!I9+'機船'!I9</f>
        <v>0.41000000000000003</v>
      </c>
      <c r="J9" s="26">
        <f>+'㈱塩釜'!J9+'機船'!J9</f>
        <v>0.19</v>
      </c>
      <c r="K9" s="26">
        <f>+'㈱塩釜'!K9+'機船'!K9</f>
        <v>0.024</v>
      </c>
      <c r="L9" s="26">
        <f>+'㈱塩釜'!L9+'機船'!L9</f>
        <v>0.02</v>
      </c>
      <c r="M9" s="26">
        <f>+'㈱塩釜'!M9+'機船'!M9</f>
        <v>0.086</v>
      </c>
      <c r="N9" s="26">
        <f>+'㈱塩釜'!N9+'機船'!N9</f>
        <v>0.001</v>
      </c>
      <c r="O9" s="26">
        <f>+'㈱塩釜'!O9+'機船'!O9</f>
        <v>92.682</v>
      </c>
      <c r="P9" s="8">
        <f t="shared" si="0"/>
        <v>95.21000000000001</v>
      </c>
    </row>
    <row r="10" spans="1:16" ht="19.5" customHeight="1">
      <c r="A10" s="49"/>
      <c r="B10" s="381"/>
      <c r="C10" s="48" t="s">
        <v>18</v>
      </c>
      <c r="D10" s="25">
        <f>+'㈱塩釜'!D10+'機船'!D10</f>
        <v>222.65300094370866</v>
      </c>
      <c r="E10" s="25">
        <f>+'㈱塩釜'!E10+'機船'!E10</f>
        <v>55.02</v>
      </c>
      <c r="F10" s="25">
        <f>+'㈱塩釜'!F10+'機船'!F10</f>
        <v>116.498</v>
      </c>
      <c r="G10" s="25">
        <f>+'㈱塩釜'!G10+'機船'!G10</f>
        <v>111.45599996375918</v>
      </c>
      <c r="H10" s="25">
        <f>+'㈱塩釜'!H10+'機船'!H10</f>
        <v>149.04</v>
      </c>
      <c r="I10" s="25">
        <f>+'㈱塩釜'!I10+'機船'!I10</f>
        <v>204.2280010674823</v>
      </c>
      <c r="J10" s="25">
        <f>+'㈱塩釜'!J10+'機船'!J10</f>
        <v>93.959999902275</v>
      </c>
      <c r="K10" s="25">
        <f>+'㈱塩釜'!K10+'機船'!K10</f>
        <v>16.416</v>
      </c>
      <c r="L10" s="25">
        <f>+'㈱塩釜'!L10+'機船'!L10</f>
        <v>12.744</v>
      </c>
      <c r="M10" s="25">
        <f>+'㈱塩釜'!M10+'機船'!M10</f>
        <v>38.88</v>
      </c>
      <c r="N10" s="25">
        <f>+'㈱塩釜'!N10+'機船'!N10</f>
        <v>0.108</v>
      </c>
      <c r="O10" s="25">
        <f>+'㈱塩釜'!O10+'機船'!O10</f>
        <v>1816.614</v>
      </c>
      <c r="P10" s="9">
        <f t="shared" si="0"/>
        <v>2837.617001877225</v>
      </c>
    </row>
    <row r="11" spans="1:16" ht="19.5" customHeight="1">
      <c r="A11" s="376" t="s">
        <v>25</v>
      </c>
      <c r="B11" s="377"/>
      <c r="C11" s="54" t="s">
        <v>16</v>
      </c>
      <c r="D11" s="26">
        <f>+'㈱塩釜'!D11+'機船'!D11</f>
        <v>0.1</v>
      </c>
      <c r="E11" s="26">
        <f>+'㈱塩釜'!E11+'機船'!E11</f>
        <v>0.5146</v>
      </c>
      <c r="F11" s="26">
        <f>+'㈱塩釜'!F11+'機船'!F11</f>
        <v>1.1706</v>
      </c>
      <c r="G11" s="26">
        <f>+'㈱塩釜'!G11+'機船'!G11</f>
        <v>0.5813</v>
      </c>
      <c r="H11" s="26">
        <f>+'㈱塩釜'!H11+'機船'!H11</f>
        <v>6.1395</v>
      </c>
      <c r="I11" s="26">
        <f>+'㈱塩釜'!I11+'機船'!I11</f>
        <v>36.4933</v>
      </c>
      <c r="J11" s="26">
        <f>+'㈱塩釜'!J11+'機船'!J11</f>
        <v>109.37549999999999</v>
      </c>
      <c r="K11" s="26">
        <f>+'㈱塩釜'!K11+'機船'!K11</f>
        <v>204.977</v>
      </c>
      <c r="L11" s="26">
        <f>+'㈱塩釜'!L11+'機船'!L11</f>
        <v>15.0537</v>
      </c>
      <c r="M11" s="26">
        <f>+'㈱塩釜'!M11+'機船'!M11</f>
        <v>188.6206</v>
      </c>
      <c r="N11" s="26">
        <f>+'㈱塩釜'!N11+'機船'!N11</f>
        <v>0.8722</v>
      </c>
      <c r="O11" s="26">
        <f>+'㈱塩釜'!O11+'機船'!O11</f>
        <v>0.085</v>
      </c>
      <c r="P11" s="8">
        <f>SUM(D11:O11)</f>
        <v>563.9833000000001</v>
      </c>
    </row>
    <row r="12" spans="1:16" ht="19.5" customHeight="1">
      <c r="A12" s="378"/>
      <c r="B12" s="379"/>
      <c r="C12" s="48" t="s">
        <v>18</v>
      </c>
      <c r="D12" s="25">
        <f>+'㈱塩釜'!D12+'機船'!D12</f>
        <v>14.679000396357639</v>
      </c>
      <c r="E12" s="25">
        <f>+'㈱塩釜'!E12+'機船'!E12</f>
        <v>70.85502397269178</v>
      </c>
      <c r="F12" s="25">
        <f>+'㈱塩釜'!F12+'機船'!F12</f>
        <v>344.74025592001</v>
      </c>
      <c r="G12" s="25">
        <f>+'㈱塩釜'!G12+'機船'!G12</f>
        <v>217.0454363583768</v>
      </c>
      <c r="H12" s="25">
        <f>+'㈱塩釜'!H12+'機船'!H12</f>
        <v>2195.64121742797</v>
      </c>
      <c r="I12" s="25">
        <f>+'㈱塩釜'!I12+'機船'!I12</f>
        <v>7038.421340899056</v>
      </c>
      <c r="J12" s="25">
        <f>+'㈱塩釜'!J12+'機船'!J12</f>
        <v>30016.39706644581</v>
      </c>
      <c r="K12" s="25">
        <f>+'㈱塩釜'!K12+'機船'!K12</f>
        <v>61289.697467619924</v>
      </c>
      <c r="L12" s="25">
        <f>+'㈱塩釜'!L12+'機船'!L12</f>
        <v>6607.092139684005</v>
      </c>
      <c r="M12" s="25">
        <f>+'㈱塩釜'!M12+'機船'!M12</f>
        <v>58860.68135106473</v>
      </c>
      <c r="N12" s="25">
        <f>+'㈱塩釜'!N12+'機船'!N12</f>
        <v>84.12380069430492</v>
      </c>
      <c r="O12" s="25">
        <f>+'㈱塩釜'!O12+'機船'!O12</f>
        <v>9.812879908949247</v>
      </c>
      <c r="P12" s="9">
        <f t="shared" si="0"/>
        <v>166749.1869803922</v>
      </c>
    </row>
    <row r="13" spans="1:16" ht="19.5" customHeight="1">
      <c r="A13" s="50"/>
      <c r="B13" s="382" t="s">
        <v>209</v>
      </c>
      <c r="C13" s="54" t="s">
        <v>16</v>
      </c>
      <c r="D13" s="26">
        <f>+'㈱塩釜'!D13+'機船'!D13</f>
        <v>10.1419</v>
      </c>
      <c r="E13" s="26">
        <f>+'㈱塩釜'!E13+'機船'!E13</f>
        <v>7.5788</v>
      </c>
      <c r="F13" s="26">
        <f>+'㈱塩釜'!F13+'機船'!F13</f>
        <v>11.731300000000001</v>
      </c>
      <c r="G13" s="26">
        <f>+'㈱塩釜'!G13+'機船'!G13</f>
        <v>10.158000000000001</v>
      </c>
      <c r="H13" s="26">
        <f>+'㈱塩釜'!H13+'機船'!H13</f>
        <v>19.3711</v>
      </c>
      <c r="I13" s="26">
        <f>+'㈱塩釜'!I13+'機船'!I13</f>
        <v>178.1973</v>
      </c>
      <c r="J13" s="26">
        <f>+'㈱塩釜'!J13+'機船'!J13</f>
        <v>11.0608</v>
      </c>
      <c r="K13" s="26">
        <f>+'㈱塩釜'!K13+'機船'!K13</f>
        <v>52.7424</v>
      </c>
      <c r="L13" s="26">
        <f>+'㈱塩釜'!L13+'機船'!L13</f>
        <v>10.2268</v>
      </c>
      <c r="M13" s="26">
        <f>+'㈱塩釜'!M13+'機船'!M13</f>
        <v>8.4642</v>
      </c>
      <c r="N13" s="26">
        <f>+'㈱塩釜'!N13+'機船'!N13</f>
        <v>8.2929</v>
      </c>
      <c r="O13" s="26">
        <f>+'㈱塩釜'!O13+'機船'!O13</f>
        <v>20.287799999999997</v>
      </c>
      <c r="P13" s="8">
        <f t="shared" si="0"/>
        <v>348.2533</v>
      </c>
    </row>
    <row r="14" spans="1:16" ht="19.5" customHeight="1">
      <c r="A14" s="44" t="s">
        <v>0</v>
      </c>
      <c r="B14" s="383"/>
      <c r="C14" s="48" t="s">
        <v>18</v>
      </c>
      <c r="D14" s="25">
        <f>+'㈱塩釜'!D14+'機船'!D14</f>
        <v>35207.32364756051</v>
      </c>
      <c r="E14" s="25">
        <f>+'㈱塩釜'!E14+'機船'!E14</f>
        <v>23271.29165509881</v>
      </c>
      <c r="F14" s="25">
        <f>+'㈱塩釜'!F14+'機船'!F14</f>
        <v>32178.06225045662</v>
      </c>
      <c r="G14" s="25">
        <f>+'㈱塩釜'!G14+'機船'!G14</f>
        <v>30583.613951707935</v>
      </c>
      <c r="H14" s="25">
        <f>+'㈱塩釜'!H14+'機船'!H14</f>
        <v>59215.85978010665</v>
      </c>
      <c r="I14" s="25">
        <f>+'㈱塩釜'!I14+'機船'!I14</f>
        <v>127892.0028069106</v>
      </c>
      <c r="J14" s="25">
        <f>+'㈱塩釜'!J14+'機船'!J14</f>
        <v>30456.23633648837</v>
      </c>
      <c r="K14" s="25">
        <f>+'㈱塩釜'!K14+'機船'!K14</f>
        <v>107706.1700669783</v>
      </c>
      <c r="L14" s="25">
        <f>+'㈱塩釜'!L14+'機船'!L14</f>
        <v>29381.572401624537</v>
      </c>
      <c r="M14" s="25">
        <f>+'㈱塩釜'!M14+'機船'!M14</f>
        <v>26070.972541377654</v>
      </c>
      <c r="N14" s="25">
        <f>+'㈱塩釜'!N14+'機船'!N14</f>
        <v>24564.094287535176</v>
      </c>
      <c r="O14" s="25">
        <f>+'㈱塩釜'!O14+'機船'!O14</f>
        <v>67508.93981495133</v>
      </c>
      <c r="P14" s="9">
        <f t="shared" si="0"/>
        <v>594036.1395407964</v>
      </c>
    </row>
    <row r="15" spans="1:16" ht="19.5" customHeight="1">
      <c r="A15" s="45" t="s">
        <v>27</v>
      </c>
      <c r="B15" s="382" t="s">
        <v>28</v>
      </c>
      <c r="C15" s="54" t="s">
        <v>16</v>
      </c>
      <c r="D15" s="26">
        <f>+'㈱塩釜'!D15+'機船'!D15</f>
        <v>0.3484</v>
      </c>
      <c r="E15" s="26">
        <f>+'㈱塩釜'!E15+'機船'!E15</f>
        <v>6.4248</v>
      </c>
      <c r="F15" s="26">
        <f>+'㈱塩釜'!F15+'機船'!F15</f>
        <v>4.9816</v>
      </c>
      <c r="G15" s="26">
        <f>+'㈱塩釜'!G15+'機船'!G15</f>
        <v>5.0962</v>
      </c>
      <c r="H15" s="26">
        <f>+'㈱塩釜'!H15+'機船'!H15</f>
        <v>12.531500000000001</v>
      </c>
      <c r="I15" s="26">
        <f>+'㈱塩釜'!I15+'機船'!I15</f>
        <v>4.8677</v>
      </c>
      <c r="J15" s="26">
        <f>+'㈱塩釜'!J15+'機船'!J15</f>
        <v>10.0414</v>
      </c>
      <c r="K15" s="26">
        <f>+'㈱塩釜'!K15+'機船'!K15</f>
        <v>1.822</v>
      </c>
      <c r="L15" s="26">
        <f>+'㈱塩釜'!L15+'機船'!L15</f>
        <v>0.7046</v>
      </c>
      <c r="M15" s="26">
        <f>+'㈱塩釜'!M15+'機船'!M15</f>
        <v>1.1044</v>
      </c>
      <c r="N15" s="26">
        <f>+'㈱塩釜'!N15+'機船'!N15</f>
        <v>0.5782</v>
      </c>
      <c r="O15" s="26">
        <f>+'㈱塩釜'!O15+'機船'!O15</f>
        <v>0.385</v>
      </c>
      <c r="P15" s="8">
        <f t="shared" si="0"/>
        <v>48.8858</v>
      </c>
    </row>
    <row r="16" spans="1:16" ht="19.5" customHeight="1">
      <c r="A16" s="45" t="s">
        <v>0</v>
      </c>
      <c r="B16" s="383"/>
      <c r="C16" s="48" t="s">
        <v>18</v>
      </c>
      <c r="D16" s="25">
        <f>+'㈱塩釜'!D16+'機船'!D16</f>
        <v>55.25941241637492</v>
      </c>
      <c r="E16" s="25">
        <f>+'㈱塩釜'!E16+'機船'!E16</f>
        <v>2355.022871941848</v>
      </c>
      <c r="F16" s="25">
        <f>+'㈱塩釜'!F16+'機船'!F16</f>
        <v>2223.553860680692</v>
      </c>
      <c r="G16" s="25">
        <f>+'㈱塩釜'!G16+'機船'!G16</f>
        <v>1482.4708151660102</v>
      </c>
      <c r="H16" s="25">
        <f>+'㈱塩釜'!H16+'機船'!H16</f>
        <v>4559.418568741781</v>
      </c>
      <c r="I16" s="25">
        <f>+'㈱塩釜'!I16+'機船'!I16</f>
        <v>3232.178057837921</v>
      </c>
      <c r="J16" s="25">
        <f>+'㈱塩釜'!J16+'機船'!J16</f>
        <v>6129.027571626323</v>
      </c>
      <c r="K16" s="25">
        <f>+'㈱塩釜'!K16+'機船'!K16</f>
        <v>501.85547099181264</v>
      </c>
      <c r="L16" s="25">
        <f>+'㈱塩釜'!L16+'機船'!L16</f>
        <v>295.32383524187304</v>
      </c>
      <c r="M16" s="25">
        <f>+'㈱塩釜'!M16+'機船'!M16</f>
        <v>306.98027827836535</v>
      </c>
      <c r="N16" s="25">
        <f>+'㈱塩釜'!N16+'機船'!N16</f>
        <v>217.5271223718238</v>
      </c>
      <c r="O16" s="25">
        <f>+'㈱塩釜'!O16+'機船'!O16</f>
        <v>147.3422386328558</v>
      </c>
      <c r="P16" s="9">
        <f t="shared" si="0"/>
        <v>21505.960103927686</v>
      </c>
    </row>
    <row r="17" spans="1:16" ht="19.5" customHeight="1">
      <c r="A17" s="45" t="s">
        <v>29</v>
      </c>
      <c r="B17" s="382" t="s">
        <v>30</v>
      </c>
      <c r="C17" s="54" t="s">
        <v>16</v>
      </c>
      <c r="D17" s="26">
        <f>+'㈱塩釜'!D17+'機船'!D17</f>
        <v>77.22579999999999</v>
      </c>
      <c r="E17" s="26">
        <f>+'㈱塩釜'!E17+'機船'!E17</f>
        <v>52.416799999999995</v>
      </c>
      <c r="F17" s="26">
        <f>+'㈱塩釜'!F17+'機船'!F17</f>
        <v>52.143</v>
      </c>
      <c r="G17" s="26">
        <f>+'㈱塩釜'!G17+'機船'!G17</f>
        <v>128.7375</v>
      </c>
      <c r="H17" s="26">
        <f>+'㈱塩釜'!H17+'機船'!H17</f>
        <v>77.76419999999999</v>
      </c>
      <c r="I17" s="26">
        <f>+'㈱塩釜'!I17+'機船'!I17</f>
        <v>57.116200000000006</v>
      </c>
      <c r="J17" s="26">
        <f>+'㈱塩釜'!J17+'機船'!J17</f>
        <v>59.3738</v>
      </c>
      <c r="K17" s="26">
        <f>+'㈱塩釜'!K17+'機船'!K17</f>
        <v>85.547</v>
      </c>
      <c r="L17" s="26">
        <f>+'㈱塩釜'!L17+'機船'!L17</f>
        <v>335.1442</v>
      </c>
      <c r="M17" s="26">
        <f>+'㈱塩釜'!M17+'機船'!M17</f>
        <v>515.3418</v>
      </c>
      <c r="N17" s="26">
        <f>+'㈱塩釜'!N17+'機船'!N17</f>
        <v>321.1312</v>
      </c>
      <c r="O17" s="26">
        <f>+'㈱塩釜'!O17+'機船'!O17</f>
        <v>169.81</v>
      </c>
      <c r="P17" s="8">
        <f t="shared" si="0"/>
        <v>1931.7515</v>
      </c>
    </row>
    <row r="18" spans="1:16" ht="19.5" customHeight="1">
      <c r="A18" s="45"/>
      <c r="B18" s="383"/>
      <c r="C18" s="48" t="s">
        <v>18</v>
      </c>
      <c r="D18" s="25">
        <f>+'㈱塩釜'!D18+'機船'!D18</f>
        <v>86259.50967094852</v>
      </c>
      <c r="E18" s="25">
        <f>+'㈱塩釜'!E18+'機船'!E18</f>
        <v>57572.69305785687</v>
      </c>
      <c r="F18" s="25">
        <f>+'㈱塩釜'!F18+'機船'!F18</f>
        <v>76618.94581774664</v>
      </c>
      <c r="G18" s="25">
        <f>+'㈱塩釜'!G18+'機船'!G18</f>
        <v>141328.14633203825</v>
      </c>
      <c r="H18" s="25">
        <f>+'㈱塩釜'!H18+'機船'!H18</f>
        <v>77468.87334509793</v>
      </c>
      <c r="I18" s="25">
        <f>+'㈱塩釜'!I18+'機船'!I18</f>
        <v>54858.13176426686</v>
      </c>
      <c r="J18" s="25">
        <f>+'㈱塩釜'!J18+'機船'!J18</f>
        <v>62677.81112928291</v>
      </c>
      <c r="K18" s="25">
        <f>+'㈱塩釜'!K18+'機船'!K18</f>
        <v>121050.91972823578</v>
      </c>
      <c r="L18" s="25">
        <f>+'㈱塩釜'!L18+'機船'!L18</f>
        <v>532846.7919168869</v>
      </c>
      <c r="M18" s="25">
        <f>+'㈱塩釜'!M18+'機船'!M18</f>
        <v>791779.3776046515</v>
      </c>
      <c r="N18" s="25">
        <f>+'㈱塩釜'!N18+'機船'!N18</f>
        <v>443991.46826155664</v>
      </c>
      <c r="O18" s="25">
        <f>+'㈱塩釜'!O18+'機船'!O18</f>
        <v>261303.73159262745</v>
      </c>
      <c r="P18" s="9">
        <f t="shared" si="0"/>
        <v>2707756.400221196</v>
      </c>
    </row>
    <row r="19" spans="1:16" ht="19.5" customHeight="1">
      <c r="A19" s="45" t="s">
        <v>31</v>
      </c>
      <c r="B19" s="47" t="s">
        <v>108</v>
      </c>
      <c r="C19" s="54" t="s">
        <v>16</v>
      </c>
      <c r="D19" s="26">
        <f>+'㈱塩釜'!D19+'機船'!D19</f>
        <v>29.294400000000003</v>
      </c>
      <c r="E19" s="26">
        <f>+'㈱塩釜'!E19+'機船'!E19</f>
        <v>42.066</v>
      </c>
      <c r="F19" s="26">
        <f>+'㈱塩釜'!F19+'機船'!F19</f>
        <v>18.45</v>
      </c>
      <c r="G19" s="26">
        <f>+'㈱塩釜'!G19+'機船'!G19</f>
        <v>24.9018</v>
      </c>
      <c r="H19" s="26">
        <f>+'㈱塩釜'!H19+'機船'!H19</f>
        <v>30.5176</v>
      </c>
      <c r="I19" s="26">
        <f>+'㈱塩釜'!I19+'機船'!I19</f>
        <v>111.1513</v>
      </c>
      <c r="J19" s="26">
        <f>+'㈱塩釜'!J19+'機船'!J19</f>
        <v>39.096199999999996</v>
      </c>
      <c r="K19" s="26">
        <f>+'㈱塩釜'!K19+'機船'!K19</f>
        <v>11.7832</v>
      </c>
      <c r="L19" s="26">
        <f>+'㈱塩釜'!L19+'機船'!L19</f>
        <v>103.80099999999999</v>
      </c>
      <c r="M19" s="26">
        <f>+'㈱塩釜'!M19+'機船'!M19</f>
        <v>11.5656</v>
      </c>
      <c r="N19" s="26">
        <f>+'㈱塩釜'!N19+'機船'!N19</f>
        <v>4.2296</v>
      </c>
      <c r="O19" s="26">
        <f>+'㈱塩釜'!O19+'機船'!O19</f>
        <v>4.3816</v>
      </c>
      <c r="P19" s="8">
        <f t="shared" si="0"/>
        <v>431.23830000000004</v>
      </c>
    </row>
    <row r="20" spans="1:16" ht="19.5" customHeight="1">
      <c r="A20" s="45"/>
      <c r="B20" s="48" t="s">
        <v>109</v>
      </c>
      <c r="C20" s="48" t="s">
        <v>18</v>
      </c>
      <c r="D20" s="25">
        <f>+'㈱塩釜'!D20+'機船'!D20</f>
        <v>22873.395001950536</v>
      </c>
      <c r="E20" s="25">
        <f>+'㈱塩釜'!E20+'機船'!E20</f>
        <v>31558.738339176816</v>
      </c>
      <c r="F20" s="25">
        <f>+'㈱塩釜'!F20+'機船'!F20</f>
        <v>13362.902673021277</v>
      </c>
      <c r="G20" s="25">
        <f>+'㈱塩釜'!G20+'機船'!G20</f>
        <v>13363.437827205524</v>
      </c>
      <c r="H20" s="25">
        <f>+'㈱塩釜'!H20+'機船'!H20</f>
        <v>18120.457769592693</v>
      </c>
      <c r="I20" s="25">
        <f>+'㈱塩釜'!I20+'機船'!I20</f>
        <v>50369.26341041805</v>
      </c>
      <c r="J20" s="25">
        <f>+'㈱塩釜'!J20+'機船'!J20</f>
        <v>25577.954387108603</v>
      </c>
      <c r="K20" s="25">
        <f>+'㈱塩釜'!K20+'機船'!K20</f>
        <v>8784.582710607603</v>
      </c>
      <c r="L20" s="25">
        <f>+'㈱塩釜'!L20+'機船'!L20</f>
        <v>78694.50234787798</v>
      </c>
      <c r="M20" s="25">
        <f>+'㈱塩釜'!M20+'機船'!M20</f>
        <v>14987.425706776507</v>
      </c>
      <c r="N20" s="25">
        <f>+'㈱塩釜'!N20+'機船'!N20</f>
        <v>5351.666628248177</v>
      </c>
      <c r="O20" s="25">
        <f>+'㈱塩釜'!O20+'機船'!O20</f>
        <v>6217.573161522991</v>
      </c>
      <c r="P20" s="9">
        <f t="shared" si="0"/>
        <v>289261.8999635067</v>
      </c>
    </row>
    <row r="21" spans="1:16" ht="19.5" customHeight="1">
      <c r="A21" s="45" t="s">
        <v>23</v>
      </c>
      <c r="B21" s="382" t="s">
        <v>32</v>
      </c>
      <c r="C21" s="54" t="s">
        <v>16</v>
      </c>
      <c r="D21" s="26">
        <f>+'㈱塩釜'!D21+'機船'!D21</f>
        <v>246.806</v>
      </c>
      <c r="E21" s="26">
        <f>+'㈱塩釜'!E21+'機船'!E21</f>
        <v>171.8134</v>
      </c>
      <c r="F21" s="26">
        <f>+'㈱塩釜'!F21+'機船'!F21</f>
        <v>102.6508</v>
      </c>
      <c r="G21" s="26">
        <f>+'㈱塩釜'!G21+'機船'!G21</f>
        <v>117.4094</v>
      </c>
      <c r="H21" s="26">
        <f>+'㈱塩釜'!H21+'機船'!H21</f>
        <v>318.5122</v>
      </c>
      <c r="I21" s="26">
        <f>+'㈱塩釜'!I21+'機船'!I21</f>
        <v>97.99300000000001</v>
      </c>
      <c r="J21" s="26">
        <f>+'㈱塩釜'!J21+'機船'!J21</f>
        <v>624.798</v>
      </c>
      <c r="K21" s="26">
        <f>+'㈱塩釜'!K21+'機船'!K21</f>
        <v>100.8012</v>
      </c>
      <c r="L21" s="26">
        <f>+'㈱塩釜'!L21+'機船'!L21</f>
        <v>2.5018</v>
      </c>
      <c r="M21" s="26">
        <f>+'㈱塩釜'!M21+'機船'!M21</f>
        <v>142.3682</v>
      </c>
      <c r="N21" s="26">
        <f>+'㈱塩釜'!N21+'機船'!N21</f>
        <v>385.5608</v>
      </c>
      <c r="O21" s="26">
        <f>+'㈱塩釜'!O21+'機船'!O21</f>
        <v>486.8378</v>
      </c>
      <c r="P21" s="8">
        <f t="shared" si="0"/>
        <v>2798.0526</v>
      </c>
    </row>
    <row r="22" spans="1:16" ht="19.5" customHeight="1">
      <c r="A22" s="45"/>
      <c r="B22" s="383"/>
      <c r="C22" s="48" t="s">
        <v>18</v>
      </c>
      <c r="D22" s="25">
        <f>+'㈱塩釜'!D22+'機船'!D22</f>
        <v>115536.48128721565</v>
      </c>
      <c r="E22" s="25">
        <f>+'㈱塩釜'!E22+'機船'!E22</f>
        <v>100733.92053924492</v>
      </c>
      <c r="F22" s="25">
        <f>+'㈱塩釜'!F22+'機船'!F22</f>
        <v>61587.430378113095</v>
      </c>
      <c r="G22" s="25">
        <f>+'㈱塩釜'!G22+'機船'!G22</f>
        <v>47514.79190444687</v>
      </c>
      <c r="H22" s="25">
        <f>+'㈱塩釜'!H22+'機船'!H22</f>
        <v>86197.55869863302</v>
      </c>
      <c r="I22" s="25">
        <f>+'㈱塩釜'!I22+'機船'!I22</f>
        <v>30049.740833993783</v>
      </c>
      <c r="J22" s="25">
        <f>+'㈱塩釜'!J22+'機船'!J22</f>
        <v>202722.75336149946</v>
      </c>
      <c r="K22" s="25">
        <f>+'㈱塩釜'!K22+'機船'!K22</f>
        <v>40983.30399035725</v>
      </c>
      <c r="L22" s="25">
        <f>+'㈱塩釜'!L22+'機船'!L22</f>
        <v>989.0703892013307</v>
      </c>
      <c r="M22" s="25">
        <f>+'㈱塩釜'!M22+'機船'!M22</f>
        <v>60165.0667020596</v>
      </c>
      <c r="N22" s="25">
        <f>+'㈱塩釜'!N22+'機船'!N22</f>
        <v>128519.26734076535</v>
      </c>
      <c r="O22" s="25">
        <f>+'㈱塩釜'!O22+'機船'!O22</f>
        <v>184280.40652833442</v>
      </c>
      <c r="P22" s="9">
        <f t="shared" si="0"/>
        <v>1059279.7919538647</v>
      </c>
    </row>
    <row r="23" spans="1:16" ht="19.5" customHeight="1">
      <c r="A23" s="45"/>
      <c r="B23" s="380" t="s">
        <v>194</v>
      </c>
      <c r="C23" s="54" t="s">
        <v>16</v>
      </c>
      <c r="D23" s="26">
        <f>+'㈱塩釜'!D23+'機船'!D23</f>
        <v>363.8165</v>
      </c>
      <c r="E23" s="26">
        <f>+'㈱塩釜'!E23+'機船'!E23</f>
        <v>280.2998</v>
      </c>
      <c r="F23" s="26">
        <f>+'㈱塩釜'!F23+'機船'!F23</f>
        <v>189.95669999999998</v>
      </c>
      <c r="G23" s="26">
        <f>+'㈱塩釜'!G23+'機船'!G23</f>
        <v>286.3029</v>
      </c>
      <c r="H23" s="26">
        <f>+'㈱塩釜'!H23+'機船'!H23</f>
        <v>458.6966</v>
      </c>
      <c r="I23" s="26">
        <f>+'㈱塩釜'!I23+'機船'!I23</f>
        <v>449.32550000000003</v>
      </c>
      <c r="J23" s="26">
        <f>+'㈱塩釜'!J23+'機船'!J23</f>
        <v>744.3702000000001</v>
      </c>
      <c r="K23" s="26">
        <f>+'㈱塩釜'!K23+'機船'!K23</f>
        <v>252.6958</v>
      </c>
      <c r="L23" s="26">
        <f>+'㈱塩釜'!L23+'機船'!L23</f>
        <v>452.37840000000006</v>
      </c>
      <c r="M23" s="26">
        <f>+'㈱塩釜'!M23+'機船'!M23</f>
        <v>678.8442</v>
      </c>
      <c r="N23" s="26">
        <f>+'㈱塩釜'!N23+'機船'!N23</f>
        <v>719.7927</v>
      </c>
      <c r="O23" s="26">
        <f>+'㈱塩釜'!O23+'機船'!O23</f>
        <v>681.7022</v>
      </c>
      <c r="P23" s="8">
        <f t="shared" si="0"/>
        <v>5558.181500000001</v>
      </c>
    </row>
    <row r="24" spans="1:16" ht="19.5" customHeight="1">
      <c r="A24" s="40"/>
      <c r="B24" s="381"/>
      <c r="C24" s="48" t="s">
        <v>18</v>
      </c>
      <c r="D24" s="25">
        <f>+'㈱塩釜'!D24+'機船'!D24</f>
        <v>259931.96902009158</v>
      </c>
      <c r="E24" s="25">
        <f>+'㈱塩釜'!E24+'機船'!E24</f>
        <v>215491.66646331924</v>
      </c>
      <c r="F24" s="25">
        <f>+'㈱塩釜'!F24+'機船'!F24</f>
        <v>185970.89498001832</v>
      </c>
      <c r="G24" s="25">
        <f>+'㈱塩釜'!G24+'機船'!G24</f>
        <v>234272.4608305646</v>
      </c>
      <c r="H24" s="25">
        <f>+'㈱塩釜'!H24+'機船'!H24</f>
        <v>245562.16816217205</v>
      </c>
      <c r="I24" s="25">
        <f>+'㈱塩釜'!I24+'機船'!I24</f>
        <v>266401.31687342725</v>
      </c>
      <c r="J24" s="25">
        <f>+'㈱塩釜'!J24+'機船'!J24</f>
        <v>327563.7827860057</v>
      </c>
      <c r="K24" s="25">
        <f>+'㈱塩釜'!K24+'機船'!K24</f>
        <v>279026.83196717076</v>
      </c>
      <c r="L24" s="25">
        <f>+'㈱塩釜'!L24+'機船'!L24</f>
        <v>642207.2608908326</v>
      </c>
      <c r="M24" s="25">
        <f>+'㈱塩釜'!M24+'機船'!M24</f>
        <v>893309.8228331436</v>
      </c>
      <c r="N24" s="25">
        <f>+'㈱塩釜'!N24+'機船'!N24</f>
        <v>602644.0236404771</v>
      </c>
      <c r="O24" s="25">
        <f>+'㈱塩釜'!O24+'機船'!O24</f>
        <v>519457.993336069</v>
      </c>
      <c r="P24" s="9">
        <f t="shared" si="0"/>
        <v>4671840.191783292</v>
      </c>
    </row>
    <row r="25" spans="1:16" ht="19.5" customHeight="1">
      <c r="A25" s="45" t="s">
        <v>0</v>
      </c>
      <c r="B25" s="382" t="s">
        <v>33</v>
      </c>
      <c r="C25" s="54" t="s">
        <v>16</v>
      </c>
      <c r="D25" s="26">
        <f>+'㈱塩釜'!D25+'機船'!D25</f>
        <v>4.673</v>
      </c>
      <c r="E25" s="26">
        <f>+'㈱塩釜'!E25+'機船'!E25</f>
        <v>1.564</v>
      </c>
      <c r="F25" s="26">
        <f>+'㈱塩釜'!F25+'機船'!F25</f>
        <v>2.224</v>
      </c>
      <c r="G25" s="26">
        <f>+'㈱塩釜'!G25+'機船'!G25</f>
        <v>7.231</v>
      </c>
      <c r="H25" s="26">
        <f>+'㈱塩釜'!H25+'機船'!H25</f>
        <v>5.9852</v>
      </c>
      <c r="I25" s="26">
        <f>+'㈱塩釜'!I25+'機船'!I25</f>
        <v>2.8509</v>
      </c>
      <c r="J25" s="26">
        <f>+'㈱塩釜'!J25+'機船'!J25</f>
        <v>1.6377000000000002</v>
      </c>
      <c r="K25" s="26">
        <f>+'㈱塩釜'!K25+'機船'!K25</f>
        <v>2.305</v>
      </c>
      <c r="L25" s="26">
        <f>+'㈱塩釜'!L25+'機船'!L25</f>
        <v>17.589</v>
      </c>
      <c r="M25" s="26">
        <f>+'㈱塩釜'!M25+'機船'!M25</f>
        <v>18.666</v>
      </c>
      <c r="N25" s="26">
        <f>+'㈱塩釜'!N25+'機船'!N25</f>
        <v>41.384</v>
      </c>
      <c r="O25" s="26">
        <f>+'㈱塩釜'!O25+'機船'!O25</f>
        <v>24.261</v>
      </c>
      <c r="P25" s="8">
        <f t="shared" si="0"/>
        <v>130.3708</v>
      </c>
    </row>
    <row r="26" spans="1:16" ht="19.5" customHeight="1">
      <c r="A26" s="45" t="s">
        <v>34</v>
      </c>
      <c r="B26" s="383"/>
      <c r="C26" s="48" t="s">
        <v>18</v>
      </c>
      <c r="D26" s="25">
        <f>+'㈱塩釜'!D26+'機船'!D26</f>
        <v>3030.8901678149937</v>
      </c>
      <c r="E26" s="25">
        <f>+'㈱塩釜'!E26+'機船'!E26</f>
        <v>1362.1662237364562</v>
      </c>
      <c r="F26" s="25">
        <f>+'㈱塩釜'!F26+'機船'!F26</f>
        <v>2176.7027310811072</v>
      </c>
      <c r="G26" s="25">
        <f>+'㈱塩釜'!G26+'機船'!G26</f>
        <v>6612.591524876028</v>
      </c>
      <c r="H26" s="25">
        <f>+'㈱塩釜'!H26+'機船'!H26</f>
        <v>5320.393021280976</v>
      </c>
      <c r="I26" s="25">
        <f>+'㈱塩釜'!I26+'機船'!I26</f>
        <v>2114.2946207624186</v>
      </c>
      <c r="J26" s="25">
        <f>+'㈱塩釜'!J26+'機船'!J26</f>
        <v>1118.5883984259758</v>
      </c>
      <c r="K26" s="25">
        <f>+'㈱塩釜'!K26+'機船'!K26</f>
        <v>1906.6857967313695</v>
      </c>
      <c r="L26" s="25">
        <f>+'㈱塩釜'!L26+'機船'!L26</f>
        <v>12538.313453678496</v>
      </c>
      <c r="M26" s="25">
        <f>+'㈱塩釜'!M26+'機船'!M26</f>
        <v>14378.461347271914</v>
      </c>
      <c r="N26" s="25">
        <f>+'㈱塩釜'!N26+'機船'!N26</f>
        <v>26392.61340154821</v>
      </c>
      <c r="O26" s="25">
        <f>+'㈱塩釜'!O26+'機船'!O26</f>
        <v>16003.838336086803</v>
      </c>
      <c r="P26" s="9">
        <f t="shared" si="0"/>
        <v>92955.53902329475</v>
      </c>
    </row>
    <row r="27" spans="1:16" ht="19.5" customHeight="1">
      <c r="A27" s="45" t="s">
        <v>35</v>
      </c>
      <c r="B27" s="47" t="s">
        <v>20</v>
      </c>
      <c r="C27" s="54" t="s">
        <v>16</v>
      </c>
      <c r="D27" s="26">
        <f>+'㈱塩釜'!D27+'機船'!D27</f>
        <v>13.314</v>
      </c>
      <c r="E27" s="26">
        <f>+'㈱塩釜'!E27+'機船'!E27</f>
        <v>10.237</v>
      </c>
      <c r="F27" s="26">
        <f>+'㈱塩釜'!F27+'機船'!F27</f>
        <v>12.956</v>
      </c>
      <c r="G27" s="26">
        <f>+'㈱塩釜'!G27+'機船'!G27</f>
        <v>20.131999999999998</v>
      </c>
      <c r="H27" s="26">
        <f>+'㈱塩釜'!H27+'機船'!H27</f>
        <v>17.172</v>
      </c>
      <c r="I27" s="26">
        <f>+'㈱塩釜'!I27+'機船'!I27</f>
        <v>9.585</v>
      </c>
      <c r="J27" s="26">
        <f>+'㈱塩釜'!J27+'機船'!J27</f>
        <v>17.669</v>
      </c>
      <c r="K27" s="26">
        <f>+'㈱塩釜'!K27+'機船'!K27</f>
        <v>11.356</v>
      </c>
      <c r="L27" s="26">
        <f>+'㈱塩釜'!L27+'機船'!L27</f>
        <v>37.196</v>
      </c>
      <c r="M27" s="26">
        <f>+'㈱塩釜'!M27+'機船'!M27</f>
        <v>86.078</v>
      </c>
      <c r="N27" s="26">
        <f>+'㈱塩釜'!N27+'機船'!N27</f>
        <v>27.53</v>
      </c>
      <c r="O27" s="26">
        <f>+'㈱塩釜'!O27+'機船'!O27</f>
        <v>6.052</v>
      </c>
      <c r="P27" s="8">
        <f t="shared" si="0"/>
        <v>269.27700000000004</v>
      </c>
    </row>
    <row r="28" spans="1:16" ht="19.5" customHeight="1">
      <c r="A28" s="45" t="s">
        <v>36</v>
      </c>
      <c r="B28" s="48" t="s">
        <v>162</v>
      </c>
      <c r="C28" s="48" t="s">
        <v>18</v>
      </c>
      <c r="D28" s="25">
        <f>+'㈱塩釜'!D28+'機船'!D28</f>
        <v>4894.569313165002</v>
      </c>
      <c r="E28" s="25">
        <f>+'㈱塩釜'!E28+'機船'!E28</f>
        <v>3097.666297500585</v>
      </c>
      <c r="F28" s="25">
        <f>+'㈱塩釜'!F28+'機船'!F28</f>
        <v>5588.161353035046</v>
      </c>
      <c r="G28" s="25">
        <f>+'㈱塩釜'!G28+'機船'!G28</f>
        <v>7663.516138272087</v>
      </c>
      <c r="H28" s="25">
        <f>+'㈱塩釜'!H28+'機船'!H28</f>
        <v>5495.5030384356005</v>
      </c>
      <c r="I28" s="25">
        <f>+'㈱塩釜'!I28+'機船'!I28</f>
        <v>2322.486412030638</v>
      </c>
      <c r="J28" s="25">
        <f>+'㈱塩釜'!J28+'機船'!J28</f>
        <v>4372.556593332549</v>
      </c>
      <c r="K28" s="25">
        <f>+'㈱塩釜'!K28+'機船'!K28</f>
        <v>3579.993593469524</v>
      </c>
      <c r="L28" s="25">
        <f>+'㈱塩釜'!L28+'機船'!L28</f>
        <v>15371.423044307363</v>
      </c>
      <c r="M28" s="25">
        <f>+'㈱塩釜'!M28+'機船'!M28</f>
        <v>33301.39986664163</v>
      </c>
      <c r="N28" s="25">
        <f>+'㈱塩釜'!N28+'機船'!N28</f>
        <v>10741.093060924199</v>
      </c>
      <c r="O28" s="25">
        <f>+'㈱塩釜'!O28+'機船'!O28</f>
        <v>3768.681780154323</v>
      </c>
      <c r="P28" s="9">
        <f t="shared" si="0"/>
        <v>100197.05049126854</v>
      </c>
    </row>
    <row r="29" spans="1:16" ht="19.5" customHeight="1">
      <c r="A29" s="45" t="s">
        <v>23</v>
      </c>
      <c r="B29" s="380" t="s">
        <v>194</v>
      </c>
      <c r="C29" s="54" t="s">
        <v>16</v>
      </c>
      <c r="D29" s="26">
        <f>+'㈱塩釜'!D29+'機船'!D29</f>
        <v>17.987</v>
      </c>
      <c r="E29" s="26">
        <f>+'㈱塩釜'!E29+'機船'!E29</f>
        <v>11.800999999999998</v>
      </c>
      <c r="F29" s="26">
        <f>+'㈱塩釜'!F29+'機船'!F29</f>
        <v>15.18</v>
      </c>
      <c r="G29" s="26">
        <f>+'㈱塩釜'!G29+'機船'!G29</f>
        <v>27.363</v>
      </c>
      <c r="H29" s="26">
        <f>+'㈱塩釜'!H29+'機船'!H29</f>
        <v>23.1572</v>
      </c>
      <c r="I29" s="26">
        <f>+'㈱塩釜'!I29+'機船'!I29</f>
        <v>12.4359</v>
      </c>
      <c r="J29" s="26">
        <f>+'㈱塩釜'!J29+'機船'!J29</f>
        <v>19.3067</v>
      </c>
      <c r="K29" s="26">
        <f>+'㈱塩釜'!K29+'機船'!K29</f>
        <v>13.661</v>
      </c>
      <c r="L29" s="26">
        <f>+'㈱塩釜'!L29+'機船'!L29</f>
        <v>54.785</v>
      </c>
      <c r="M29" s="26">
        <f>+'㈱塩釜'!M29+'機船'!M29</f>
        <v>104.744</v>
      </c>
      <c r="N29" s="26">
        <f>+'㈱塩釜'!N29+'機船'!N29</f>
        <v>68.914</v>
      </c>
      <c r="O29" s="26">
        <f>+'㈱塩釜'!O29+'機船'!O29</f>
        <v>30.313</v>
      </c>
      <c r="P29" s="8">
        <f t="shared" si="0"/>
        <v>399.64779999999996</v>
      </c>
    </row>
    <row r="30" spans="1:16" ht="19.5" customHeight="1">
      <c r="A30" s="40"/>
      <c r="B30" s="381"/>
      <c r="C30" s="48" t="s">
        <v>18</v>
      </c>
      <c r="D30" s="25">
        <f>+'㈱塩釜'!D30+'機船'!D30</f>
        <v>7925.459480979996</v>
      </c>
      <c r="E30" s="25">
        <f>+'㈱塩釜'!E30+'機船'!E30</f>
        <v>4459.832521237042</v>
      </c>
      <c r="F30" s="25">
        <f>+'㈱塩釜'!F30+'機船'!F30</f>
        <v>7764.864084116153</v>
      </c>
      <c r="G30" s="25">
        <f>+'㈱塩釜'!G30+'機船'!G30</f>
        <v>14276.107663148116</v>
      </c>
      <c r="H30" s="25">
        <f>+'㈱塩釜'!H30+'機船'!H30</f>
        <v>10815.896059716577</v>
      </c>
      <c r="I30" s="25">
        <f>+'㈱塩釜'!I30+'機船'!I30</f>
        <v>4436.7810327930565</v>
      </c>
      <c r="J30" s="25">
        <f>+'㈱塩釜'!J30+'機船'!J30</f>
        <v>5491.144991758525</v>
      </c>
      <c r="K30" s="25">
        <f>+'㈱塩釜'!K30+'機船'!K30</f>
        <v>5486.679390200894</v>
      </c>
      <c r="L30" s="25">
        <f>+'㈱塩釜'!L30+'機船'!L30</f>
        <v>27909.73649798586</v>
      </c>
      <c r="M30" s="25">
        <f>+'㈱塩釜'!M30+'機船'!M30</f>
        <v>47679.86121391354</v>
      </c>
      <c r="N30" s="25">
        <f>+'㈱塩釜'!N30+'機船'!N30</f>
        <v>37133.70646247241</v>
      </c>
      <c r="O30" s="25">
        <f>+'㈱塩釜'!O30+'機船'!O30</f>
        <v>19772.520116241125</v>
      </c>
      <c r="P30" s="9">
        <f t="shared" si="0"/>
        <v>193152.5895145633</v>
      </c>
    </row>
    <row r="31" spans="1:16" ht="19.5" customHeight="1">
      <c r="A31" s="45" t="s">
        <v>0</v>
      </c>
      <c r="B31" s="382" t="s">
        <v>37</v>
      </c>
      <c r="C31" s="54" t="s">
        <v>16</v>
      </c>
      <c r="D31" s="26">
        <f>+'㈱塩釜'!D31+'機船'!D31</f>
        <v>25.7835</v>
      </c>
      <c r="E31" s="26">
        <f>+'㈱塩釜'!E31+'機船'!E31</f>
        <v>8.572199999999999</v>
      </c>
      <c r="F31" s="26">
        <f>+'㈱塩釜'!F31+'機船'!F31</f>
        <v>5.387600000000001</v>
      </c>
      <c r="G31" s="26">
        <f>+'㈱塩釜'!G31+'機船'!G31</f>
        <v>6.8756</v>
      </c>
      <c r="H31" s="26">
        <f>+'㈱塩釜'!H31+'機船'!H31</f>
        <v>1.0773</v>
      </c>
      <c r="I31" s="26">
        <f>+'㈱塩釜'!I31+'機船'!I31</f>
        <v>0.0411</v>
      </c>
      <c r="J31" s="26">
        <f>+'㈱塩釜'!J31+'機船'!J31</f>
        <v>0.017</v>
      </c>
      <c r="K31" s="26"/>
      <c r="L31" s="26">
        <f>+'㈱塩釜'!L31+'機船'!L31</f>
        <v>0.581</v>
      </c>
      <c r="M31" s="26">
        <f>+'㈱塩釜'!M31+'機船'!M31</f>
        <v>0.0712</v>
      </c>
      <c r="N31" s="26">
        <f>+'㈱塩釜'!N31+'機船'!N31</f>
        <v>0.3861</v>
      </c>
      <c r="O31" s="26">
        <f>+'㈱塩釜'!O31+'機船'!O31</f>
        <v>6.9058</v>
      </c>
      <c r="P31" s="8">
        <f t="shared" si="0"/>
        <v>55.6984</v>
      </c>
    </row>
    <row r="32" spans="1:16" ht="19.5" customHeight="1">
      <c r="A32" s="45" t="s">
        <v>38</v>
      </c>
      <c r="B32" s="383"/>
      <c r="C32" s="48" t="s">
        <v>18</v>
      </c>
      <c r="D32" s="25">
        <f>+'㈱塩釜'!D32+'機船'!D32</f>
        <v>2792.8389439966277</v>
      </c>
      <c r="E32" s="25">
        <f>+'㈱塩釜'!E32+'機船'!E32</f>
        <v>1454.3700654032777</v>
      </c>
      <c r="F32" s="25">
        <f>+'㈱塩釜'!F32+'機船'!F32</f>
        <v>815.3411236463622</v>
      </c>
      <c r="G32" s="25">
        <f>+'㈱塩釜'!G32+'機船'!G32</f>
        <v>810.490352935449</v>
      </c>
      <c r="H32" s="25">
        <f>+'㈱塩釜'!H32+'機船'!H32</f>
        <v>99.78888056150393</v>
      </c>
      <c r="I32" s="25">
        <f>+'㈱塩釜'!I32+'機船'!I32</f>
        <v>4.826520089196574</v>
      </c>
      <c r="J32" s="25">
        <f>+'㈱塩釜'!J32+'機船'!J32</f>
        <v>1.1557999949383462</v>
      </c>
      <c r="K32" s="25"/>
      <c r="L32" s="25">
        <f>+'㈱塩釜'!L32+'機船'!L32</f>
        <v>90.03599990662534</v>
      </c>
      <c r="M32" s="25">
        <f>+'㈱塩釜'!M32+'機船'!M32</f>
        <v>59.508</v>
      </c>
      <c r="N32" s="25">
        <f>+'㈱塩釜'!N32+'機船'!N32</f>
        <v>194.99520003697623</v>
      </c>
      <c r="O32" s="25">
        <f>+'㈱塩釜'!O32+'機船'!O32</f>
        <v>1975.9227116704596</v>
      </c>
      <c r="P32" s="9">
        <f t="shared" si="0"/>
        <v>8299.273598241416</v>
      </c>
    </row>
    <row r="33" spans="1:16" ht="19.5" customHeight="1">
      <c r="A33" s="45" t="s">
        <v>0</v>
      </c>
      <c r="B33" s="382" t="s">
        <v>39</v>
      </c>
      <c r="C33" s="54" t="s">
        <v>16</v>
      </c>
      <c r="D33" s="26">
        <f>+'㈱塩釜'!D33+'機船'!D33</f>
        <v>0.7582</v>
      </c>
      <c r="E33" s="26">
        <f>+'㈱塩釜'!E33+'機船'!E33</f>
        <v>0.4152</v>
      </c>
      <c r="F33" s="26">
        <f>+'㈱塩釜'!F33+'機船'!F33</f>
        <v>0.1446</v>
      </c>
      <c r="G33" s="26">
        <f>+'㈱塩釜'!G33+'機船'!G33</f>
        <v>0.2768</v>
      </c>
      <c r="H33" s="26">
        <f>+'㈱塩釜'!H33+'機船'!H33</f>
        <v>0.1709</v>
      </c>
      <c r="I33" s="26">
        <f>+'㈱塩釜'!I33+'機船'!I33</f>
        <v>0.013</v>
      </c>
      <c r="J33" s="26"/>
      <c r="K33" s="26"/>
      <c r="L33" s="26">
        <f>+'㈱塩釜'!L33+'機船'!L33</f>
        <v>0.082</v>
      </c>
      <c r="M33" s="26"/>
      <c r="N33" s="26">
        <f>+'㈱塩釜'!N33+'機船'!N33</f>
        <v>0.0163</v>
      </c>
      <c r="O33" s="26">
        <f>+'㈱塩釜'!O33+'機船'!O33</f>
        <v>0.2919</v>
      </c>
      <c r="P33" s="8">
        <f t="shared" si="0"/>
        <v>2.1689</v>
      </c>
    </row>
    <row r="34" spans="1:16" ht="19.5" customHeight="1">
      <c r="A34" s="45" t="s">
        <v>40</v>
      </c>
      <c r="B34" s="383"/>
      <c r="C34" s="48" t="s">
        <v>18</v>
      </c>
      <c r="D34" s="25">
        <f>+'㈱塩釜'!D34+'機船'!D34</f>
        <v>78.85161321475246</v>
      </c>
      <c r="E34" s="25">
        <f>+'㈱塩釜'!E34+'機船'!E34</f>
        <v>79.77273253300547</v>
      </c>
      <c r="F34" s="25">
        <f>+'㈱塩釜'!F34+'機船'!F34</f>
        <v>21.472752921832615</v>
      </c>
      <c r="G34" s="25">
        <f>+'㈱塩釜'!G34+'機船'!G34</f>
        <v>22.611279657234263</v>
      </c>
      <c r="H34" s="25">
        <f>+'㈱塩釜'!H34+'機船'!H34</f>
        <v>10.590480118002349</v>
      </c>
      <c r="I34" s="25">
        <f>+'㈱塩釜'!I34+'機船'!I34</f>
        <v>1.4040000292153054</v>
      </c>
      <c r="J34" s="25"/>
      <c r="K34" s="25"/>
      <c r="L34" s="25">
        <f>+'㈱塩釜'!L34+'機船'!L34</f>
        <v>14.687999985971883</v>
      </c>
      <c r="M34" s="25"/>
      <c r="N34" s="25">
        <f>+'㈱塩釜'!N34+'機船'!N34</f>
        <v>7.8300000429819026</v>
      </c>
      <c r="O34" s="25">
        <f>+'㈱塩釜'!O34+'機船'!O34</f>
        <v>83.7785995936988</v>
      </c>
      <c r="P34" s="9">
        <f t="shared" si="0"/>
        <v>320.99945809669504</v>
      </c>
    </row>
    <row r="35" spans="1:16" ht="19.5" customHeight="1">
      <c r="A35" s="45"/>
      <c r="B35" s="47" t="s">
        <v>20</v>
      </c>
      <c r="C35" s="54" t="s">
        <v>16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>
        <f>+'㈱塩釜'!N35+'機船'!N35</f>
        <v>0.003</v>
      </c>
      <c r="O35" s="26"/>
      <c r="P35" s="8">
        <f t="shared" si="0"/>
        <v>0.003</v>
      </c>
    </row>
    <row r="36" spans="1:16" ht="19.5" customHeight="1">
      <c r="A36" s="45" t="s">
        <v>23</v>
      </c>
      <c r="B36" s="48" t="s">
        <v>111</v>
      </c>
      <c r="C36" s="48" t="s">
        <v>18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>
        <f>+'㈱塩釜'!N36+'機船'!N36</f>
        <v>0.972</v>
      </c>
      <c r="O36" s="25"/>
      <c r="P36" s="9">
        <f t="shared" si="0"/>
        <v>0.972</v>
      </c>
    </row>
    <row r="37" spans="1:16" ht="19.5" customHeight="1">
      <c r="A37" s="50"/>
      <c r="B37" s="380" t="s">
        <v>177</v>
      </c>
      <c r="C37" s="54" t="s">
        <v>16</v>
      </c>
      <c r="D37" s="26">
        <f>+'㈱塩釜'!D37+'機船'!D37</f>
        <v>26.5417</v>
      </c>
      <c r="E37" s="26">
        <f>+'㈱塩釜'!E37+'機船'!E37</f>
        <v>8.9874</v>
      </c>
      <c r="F37" s="26">
        <f>+'㈱塩釜'!F37+'機船'!F37</f>
        <v>5.5322000000000005</v>
      </c>
      <c r="G37" s="26">
        <f>+'㈱塩釜'!G37+'機船'!G37</f>
        <v>7.1524</v>
      </c>
      <c r="H37" s="26">
        <f>+'㈱塩釜'!H37+'機船'!H37</f>
        <v>1.2482</v>
      </c>
      <c r="I37" s="26">
        <f>+'㈱塩釜'!I37+'機船'!I37</f>
        <v>0.054099999999999995</v>
      </c>
      <c r="J37" s="26">
        <f>+'㈱塩釜'!J37+'機船'!J37</f>
        <v>0.017</v>
      </c>
      <c r="K37" s="26"/>
      <c r="L37" s="26">
        <f>+'㈱塩釜'!L37+'機船'!L37</f>
        <v>0.6629999999999999</v>
      </c>
      <c r="M37" s="26">
        <f>+'㈱塩釜'!M37+'機船'!M37</f>
        <v>0.0712</v>
      </c>
      <c r="N37" s="26">
        <f>+'㈱塩釜'!N37+'機船'!N37</f>
        <v>0.40540000000000004</v>
      </c>
      <c r="O37" s="26">
        <f>+'㈱塩釜'!O37+'機船'!O37</f>
        <v>7.1977</v>
      </c>
      <c r="P37" s="8">
        <f t="shared" si="0"/>
        <v>57.87029999999999</v>
      </c>
    </row>
    <row r="38" spans="1:16" ht="19.5" customHeight="1">
      <c r="A38" s="49"/>
      <c r="B38" s="381"/>
      <c r="C38" s="48" t="s">
        <v>18</v>
      </c>
      <c r="D38" s="25">
        <f>+'㈱塩釜'!D38+'機船'!D38</f>
        <v>2871.69055721138</v>
      </c>
      <c r="E38" s="25">
        <f>+'㈱塩釜'!E38+'機船'!E38</f>
        <v>1534.1427979362834</v>
      </c>
      <c r="F38" s="25">
        <f>+'㈱塩釜'!F38+'機船'!F38</f>
        <v>836.8138765681948</v>
      </c>
      <c r="G38" s="25">
        <f>+'㈱塩釜'!G38+'機船'!G38</f>
        <v>833.1016325926832</v>
      </c>
      <c r="H38" s="25">
        <f>+'㈱塩釜'!H38+'機船'!H38</f>
        <v>110.37936067950628</v>
      </c>
      <c r="I38" s="25">
        <f>+'㈱塩釜'!I38+'機船'!I38</f>
        <v>6.23052011841188</v>
      </c>
      <c r="J38" s="25">
        <f>+'㈱塩釜'!J38+'機船'!J38</f>
        <v>1.1557999949383462</v>
      </c>
      <c r="K38" s="25"/>
      <c r="L38" s="25">
        <f>+'㈱塩釜'!L38+'機船'!L38</f>
        <v>104.72399989259722</v>
      </c>
      <c r="M38" s="25">
        <f>+'㈱塩釜'!M38+'機船'!M38</f>
        <v>59.508</v>
      </c>
      <c r="N38" s="25">
        <f>+'㈱塩釜'!N38+'機船'!N38</f>
        <v>203.79720007995815</v>
      </c>
      <c r="O38" s="25">
        <f>+'㈱塩釜'!O38+'機船'!O38</f>
        <v>2059.7013112641584</v>
      </c>
      <c r="P38" s="9">
        <f t="shared" si="0"/>
        <v>8621.245056338112</v>
      </c>
    </row>
    <row r="39" spans="1:16" ht="19.5" customHeight="1">
      <c r="A39" s="376" t="s">
        <v>199</v>
      </c>
      <c r="B39" s="377"/>
      <c r="C39" s="54" t="s">
        <v>16</v>
      </c>
      <c r="D39" s="26">
        <f>+'㈱塩釜'!D39+'機船'!D39</f>
        <v>0.6527000000000001</v>
      </c>
      <c r="E39" s="26">
        <f>+'㈱塩釜'!E39+'機船'!E39</f>
        <v>0.4075</v>
      </c>
      <c r="F39" s="26">
        <f>+'㈱塩釜'!F39+'機船'!F39</f>
        <v>0.3083</v>
      </c>
      <c r="G39" s="26">
        <f>+'㈱塩釜'!G39+'機船'!G39</f>
        <v>0.4469</v>
      </c>
      <c r="H39" s="26">
        <f>+'㈱塩釜'!H39+'機船'!H39</f>
        <v>0.2869</v>
      </c>
      <c r="I39" s="26">
        <f>+'㈱塩釜'!I39+'機船'!I39</f>
        <v>0.6039</v>
      </c>
      <c r="J39" s="26">
        <f>+'㈱塩釜'!J39+'機船'!J39</f>
        <v>0.3426</v>
      </c>
      <c r="K39" s="26">
        <f>+'㈱塩釜'!K39+'機船'!K39</f>
        <v>0.6906</v>
      </c>
      <c r="L39" s="26">
        <f>+'㈱塩釜'!L39+'機船'!L39</f>
        <v>0.32580000000000003</v>
      </c>
      <c r="M39" s="26">
        <f>+'㈱塩釜'!M39+'機船'!M39</f>
        <v>0.18359999999999999</v>
      </c>
      <c r="N39" s="26">
        <f>+'㈱塩釜'!N39+'機船'!N39</f>
        <v>0.2267</v>
      </c>
      <c r="O39" s="26">
        <f>+'㈱塩釜'!O39+'機船'!O39</f>
        <v>0.0877</v>
      </c>
      <c r="P39" s="8">
        <f t="shared" si="0"/>
        <v>4.5632</v>
      </c>
    </row>
    <row r="40" spans="1:16" ht="19.5" customHeight="1">
      <c r="A40" s="378"/>
      <c r="B40" s="379"/>
      <c r="C40" s="48" t="s">
        <v>18</v>
      </c>
      <c r="D40" s="25">
        <f>+'㈱塩釜'!D40+'機船'!D40</f>
        <v>149.6390223753325</v>
      </c>
      <c r="E40" s="25">
        <f>+'㈱塩釜'!E40+'機船'!E40</f>
        <v>218.20580755482754</v>
      </c>
      <c r="F40" s="25">
        <f>+'㈱塩釜'!F40+'機船'!F40</f>
        <v>267.69327656048887</v>
      </c>
      <c r="G40" s="25">
        <f>+'㈱塩釜'!G40+'機船'!G40</f>
        <v>385.97579785028483</v>
      </c>
      <c r="H40" s="25">
        <f>+'㈱塩釜'!H40+'機船'!H40</f>
        <v>280.2538016063169</v>
      </c>
      <c r="I40" s="25">
        <f>+'㈱塩釜'!I40+'機船'!I40</f>
        <v>307.2600029316435</v>
      </c>
      <c r="J40" s="25">
        <f>+'㈱塩釜'!J40+'機船'!J40</f>
        <v>262.98999958391704</v>
      </c>
      <c r="K40" s="25">
        <f>+'㈱塩釜'!K40+'機船'!K40</f>
        <v>358.1031990027973</v>
      </c>
      <c r="L40" s="25">
        <f>+'㈱塩釜'!L40+'機船'!L40</f>
        <v>147.36139881234453</v>
      </c>
      <c r="M40" s="25">
        <f>+'㈱塩釜'!M40+'機船'!M40</f>
        <v>160.00839939442577</v>
      </c>
      <c r="N40" s="25">
        <f>+'㈱塩釜'!N40+'機船'!N40</f>
        <v>181.05560091698652</v>
      </c>
      <c r="O40" s="25">
        <f>+'㈱塩釜'!O40+'機船'!O40</f>
        <v>116.59099909535476</v>
      </c>
      <c r="P40" s="9">
        <f t="shared" si="0"/>
        <v>2835.13730568472</v>
      </c>
    </row>
    <row r="41" spans="1:16" ht="19.5" customHeight="1">
      <c r="A41" s="376" t="s">
        <v>200</v>
      </c>
      <c r="B41" s="377"/>
      <c r="C41" s="54" t="s">
        <v>16</v>
      </c>
      <c r="D41" s="26">
        <f>+'㈱塩釜'!D41+'機船'!D41</f>
        <v>0.9873</v>
      </c>
      <c r="E41" s="26">
        <f>+'㈱塩釜'!E41+'機船'!E41</f>
        <v>1.4219</v>
      </c>
      <c r="F41" s="26">
        <f>+'㈱塩釜'!F41+'機船'!F41</f>
        <v>2.1</v>
      </c>
      <c r="G41" s="26">
        <f>+'㈱塩釜'!G41+'機船'!G41</f>
        <v>1.0646</v>
      </c>
      <c r="H41" s="26">
        <f>+'㈱塩釜'!H41+'機船'!H41</f>
        <v>1.6129</v>
      </c>
      <c r="I41" s="26">
        <f>+'㈱塩釜'!I41+'機船'!I41</f>
        <v>2.1426</v>
      </c>
      <c r="J41" s="26">
        <f>+'㈱塩釜'!J41+'機船'!J41</f>
        <v>1.3698000000000001</v>
      </c>
      <c r="K41" s="26">
        <f>+'㈱塩釜'!K41+'機船'!K41</f>
        <v>0.3024</v>
      </c>
      <c r="L41" s="26">
        <f>+'㈱塩釜'!L41+'機船'!L41</f>
        <v>0.6474000000000001</v>
      </c>
      <c r="M41" s="26">
        <f>+'㈱塩釜'!M41+'機船'!M41</f>
        <v>0.8716</v>
      </c>
      <c r="N41" s="26">
        <f>+'㈱塩釜'!N41+'機船'!N41</f>
        <v>1.6101</v>
      </c>
      <c r="O41" s="26">
        <f>+'㈱塩釜'!O41+'機船'!O41</f>
        <v>4.2191</v>
      </c>
      <c r="P41" s="8">
        <f t="shared" si="0"/>
        <v>18.349700000000002</v>
      </c>
    </row>
    <row r="42" spans="1:16" ht="19.5" customHeight="1">
      <c r="A42" s="378"/>
      <c r="B42" s="379"/>
      <c r="C42" s="48" t="s">
        <v>18</v>
      </c>
      <c r="D42" s="25">
        <f>+'㈱塩釜'!D42+'機船'!D42</f>
        <v>995.1314235985566</v>
      </c>
      <c r="E42" s="25">
        <f>+'㈱塩釜'!E42+'機船'!E42</f>
        <v>1469.6339830442917</v>
      </c>
      <c r="F42" s="25">
        <f>+'㈱塩釜'!F42+'機船'!F42</f>
        <v>2160.900350517722</v>
      </c>
      <c r="G42" s="25">
        <f>+'㈱塩釜'!G42+'機船'!G42</f>
        <v>1126.772621094828</v>
      </c>
      <c r="H42" s="25">
        <f>+'㈱塩釜'!H42+'機船'!H42</f>
        <v>653.8716068624515</v>
      </c>
      <c r="I42" s="25">
        <f>+'㈱塩釜'!I42+'機船'!I42</f>
        <v>409.46504797326133</v>
      </c>
      <c r="J42" s="25">
        <f>+'㈱塩釜'!J42+'機船'!J42</f>
        <v>529.5011978093814</v>
      </c>
      <c r="K42" s="25">
        <f>+'㈱塩釜'!K42+'機船'!K42</f>
        <v>289.59659480180943</v>
      </c>
      <c r="L42" s="25">
        <f>+'㈱塩釜'!L42+'機船'!L42</f>
        <v>638.8577898531121</v>
      </c>
      <c r="M42" s="25">
        <f>+'㈱塩釜'!M42+'機船'!M42</f>
        <v>806.587996506349</v>
      </c>
      <c r="N42" s="25">
        <f>+'㈱塩釜'!N42+'機船'!N42</f>
        <v>1730.324018279673</v>
      </c>
      <c r="O42" s="25">
        <f>+'㈱塩釜'!O42+'機船'!O42</f>
        <v>4257.840963220446</v>
      </c>
      <c r="P42" s="9">
        <f t="shared" si="0"/>
        <v>15068.483593561881</v>
      </c>
    </row>
    <row r="43" spans="1:16" ht="19.5" customHeight="1">
      <c r="A43" s="376" t="s">
        <v>201</v>
      </c>
      <c r="B43" s="377"/>
      <c r="C43" s="54" t="s">
        <v>16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8"/>
    </row>
    <row r="44" spans="1:16" ht="19.5" customHeight="1">
      <c r="A44" s="378"/>
      <c r="B44" s="379"/>
      <c r="C44" s="48" t="s">
        <v>18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9"/>
    </row>
    <row r="45" spans="1:16" ht="19.5" customHeight="1">
      <c r="A45" s="376" t="s">
        <v>202</v>
      </c>
      <c r="B45" s="377"/>
      <c r="C45" s="54" t="s">
        <v>16</v>
      </c>
      <c r="D45" s="26">
        <f>+'㈱塩釜'!D45+'機船'!D45</f>
        <v>0.001</v>
      </c>
      <c r="E45" s="26"/>
      <c r="F45" s="26">
        <f>+'㈱塩釜'!F45+'機船'!F45</f>
        <v>0.0008</v>
      </c>
      <c r="G45" s="26">
        <f>+'㈱塩釜'!G45+'機船'!G45</f>
        <v>0.001</v>
      </c>
      <c r="H45" s="26">
        <f>+'㈱塩釜'!H45+'機船'!H45</f>
        <v>0.003</v>
      </c>
      <c r="I45" s="26"/>
      <c r="J45" s="26"/>
      <c r="K45" s="26">
        <f>+'㈱塩釜'!K45+'機船'!K45</f>
        <v>0.001</v>
      </c>
      <c r="L45" s="26"/>
      <c r="M45" s="26"/>
      <c r="N45" s="26"/>
      <c r="O45" s="26"/>
      <c r="P45" s="8">
        <f t="shared" si="0"/>
        <v>0.0068</v>
      </c>
    </row>
    <row r="46" spans="1:16" ht="19.5" customHeight="1">
      <c r="A46" s="378"/>
      <c r="B46" s="379"/>
      <c r="C46" s="48" t="s">
        <v>18</v>
      </c>
      <c r="D46" s="25">
        <f>+'㈱塩釜'!D46+'機船'!D46</f>
        <v>0.525</v>
      </c>
      <c r="E46" s="25"/>
      <c r="F46" s="25">
        <f>+'㈱塩釜'!F46+'機船'!F46</f>
        <v>1.68</v>
      </c>
      <c r="G46" s="25">
        <f>+'㈱塩釜'!G46+'機船'!G46</f>
        <v>1.6199999728193804</v>
      </c>
      <c r="H46" s="25">
        <f>+'㈱塩釜'!H46+'機船'!H46</f>
        <v>0.648</v>
      </c>
      <c r="I46" s="25"/>
      <c r="J46" s="25"/>
      <c r="K46" s="25">
        <f>+'㈱塩釜'!K46+'機船'!K46</f>
        <v>0.3239999941842765</v>
      </c>
      <c r="L46" s="25"/>
      <c r="M46" s="25"/>
      <c r="N46" s="25"/>
      <c r="O46" s="25"/>
      <c r="P46" s="9">
        <f t="shared" si="0"/>
        <v>4.796999967003657</v>
      </c>
    </row>
    <row r="47" spans="1:16" ht="19.5" customHeight="1">
      <c r="A47" s="376" t="s">
        <v>203</v>
      </c>
      <c r="B47" s="377"/>
      <c r="C47" s="54" t="s">
        <v>16</v>
      </c>
      <c r="D47" s="26">
        <f>+'㈱塩釜'!D47+'機船'!D47</f>
        <v>0.016</v>
      </c>
      <c r="E47" s="26">
        <f>+'㈱塩釜'!E47+'機船'!E47</f>
        <v>0.14200000000000002</v>
      </c>
      <c r="F47" s="26">
        <f>+'㈱塩釜'!F47+'機船'!F47</f>
        <v>0.0047</v>
      </c>
      <c r="G47" s="26">
        <f>+'㈱塩釜'!G47+'機船'!G47</f>
        <v>0.016</v>
      </c>
      <c r="H47" s="26">
        <f>+'㈱塩釜'!H47+'機船'!H47</f>
        <v>0.007</v>
      </c>
      <c r="I47" s="26"/>
      <c r="J47" s="26"/>
      <c r="K47" s="26"/>
      <c r="L47" s="26"/>
      <c r="M47" s="26"/>
      <c r="N47" s="26"/>
      <c r="O47" s="26"/>
      <c r="P47" s="8">
        <f t="shared" si="0"/>
        <v>0.18570000000000003</v>
      </c>
    </row>
    <row r="48" spans="1:16" ht="19.5" customHeight="1">
      <c r="A48" s="378"/>
      <c r="B48" s="379"/>
      <c r="C48" s="48" t="s">
        <v>18</v>
      </c>
      <c r="D48" s="25">
        <f>+'㈱塩釜'!D48+'機船'!D48</f>
        <v>9.240002076159067</v>
      </c>
      <c r="E48" s="25">
        <f>+'㈱塩釜'!E48+'機船'!E48</f>
        <v>75.3280226379866</v>
      </c>
      <c r="F48" s="25">
        <f>+'㈱塩釜'!F48+'機船'!F48</f>
        <v>1.743</v>
      </c>
      <c r="G48" s="25">
        <f>+'㈱塩釜'!G48+'機船'!G48</f>
        <v>10.367999826044034</v>
      </c>
      <c r="H48" s="25">
        <f>+'㈱塩釜'!H48+'機船'!H48</f>
        <v>9.828000109506565</v>
      </c>
      <c r="I48" s="25"/>
      <c r="J48" s="25"/>
      <c r="K48" s="25"/>
      <c r="L48" s="25"/>
      <c r="M48" s="25"/>
      <c r="N48" s="25"/>
      <c r="O48" s="25"/>
      <c r="P48" s="9">
        <f t="shared" si="0"/>
        <v>106.50702464969628</v>
      </c>
    </row>
    <row r="49" spans="1:16" ht="19.5" customHeight="1">
      <c r="A49" s="376" t="s">
        <v>204</v>
      </c>
      <c r="B49" s="377"/>
      <c r="C49" s="54" t="s">
        <v>16</v>
      </c>
      <c r="D49" s="26">
        <f>+'㈱塩釜'!D49+'機船'!D49</f>
        <v>0.3415</v>
      </c>
      <c r="E49" s="26">
        <f>+'㈱塩釜'!E49+'機船'!E49</f>
        <v>0.015</v>
      </c>
      <c r="F49" s="26">
        <f>+'㈱塩釜'!F49+'機船'!F49</f>
        <v>0.13</v>
      </c>
      <c r="G49" s="26">
        <f>+'㈱塩釜'!G49+'機船'!G49</f>
        <v>0.306</v>
      </c>
      <c r="H49" s="26">
        <f>+'㈱塩釜'!H49+'機船'!H49</f>
        <v>4.164</v>
      </c>
      <c r="I49" s="26">
        <f>+'㈱塩釜'!I49+'機船'!I49</f>
        <v>15.953999999999999</v>
      </c>
      <c r="J49" s="26">
        <f>+'㈱塩釜'!J49+'機船'!J49</f>
        <v>191.4254</v>
      </c>
      <c r="K49" s="26">
        <f>+'㈱塩釜'!K49+'機船'!K49</f>
        <v>218.48160000000001</v>
      </c>
      <c r="L49" s="26">
        <f>+'㈱塩釜'!L49+'機船'!L49</f>
        <v>185.32340000000002</v>
      </c>
      <c r="M49" s="26">
        <f>+'㈱塩釜'!M49+'機船'!M49</f>
        <v>187.6712</v>
      </c>
      <c r="N49" s="26">
        <f>+'㈱塩釜'!N49+'機船'!N49</f>
        <v>307.3568</v>
      </c>
      <c r="O49" s="26">
        <f>+'㈱塩釜'!O49+'機船'!O49</f>
        <v>88.18719999999999</v>
      </c>
      <c r="P49" s="8">
        <f t="shared" si="0"/>
        <v>1199.3561000000002</v>
      </c>
    </row>
    <row r="50" spans="1:16" ht="19.5" customHeight="1">
      <c r="A50" s="378"/>
      <c r="B50" s="379"/>
      <c r="C50" s="48" t="s">
        <v>18</v>
      </c>
      <c r="D50" s="25">
        <f>+'㈱塩釜'!D50+'機船'!D50</f>
        <v>94.605</v>
      </c>
      <c r="E50" s="25">
        <f>+'㈱塩釜'!E50+'機船'!E50</f>
        <v>9.45</v>
      </c>
      <c r="F50" s="25">
        <f>+'㈱塩釜'!F50+'機船'!F50</f>
        <v>45.885</v>
      </c>
      <c r="G50" s="25">
        <f>+'㈱塩釜'!G50+'機船'!G50</f>
        <v>53.222</v>
      </c>
      <c r="H50" s="25">
        <f>+'㈱塩釜'!H50+'機船'!H50</f>
        <v>185.1100001119133</v>
      </c>
      <c r="I50" s="25">
        <f>+'㈱塩釜'!I50+'機船'!I50</f>
        <v>640.7538001092203</v>
      </c>
      <c r="J50" s="25">
        <f>+'㈱塩釜'!J50+'機船'!J50</f>
        <v>13620.66447628617</v>
      </c>
      <c r="K50" s="25">
        <f>+'㈱塩釜'!K50+'機船'!K50</f>
        <v>16540.499059251903</v>
      </c>
      <c r="L50" s="25">
        <f>+'㈱塩釜'!L50+'機船'!L50</f>
        <v>14909.829997858082</v>
      </c>
      <c r="M50" s="25">
        <f>+'㈱塩釜'!M50+'機船'!M50</f>
        <v>15027.002734179627</v>
      </c>
      <c r="N50" s="25">
        <f>+'㈱塩釜'!N50+'機船'!N50</f>
        <v>22767.712853279918</v>
      </c>
      <c r="O50" s="25">
        <f>+'㈱塩釜'!O50+'機船'!O50</f>
        <v>7671.542128936721</v>
      </c>
      <c r="P50" s="9">
        <f t="shared" si="0"/>
        <v>91566.27705001355</v>
      </c>
    </row>
    <row r="51" spans="1:16" ht="19.5" customHeight="1">
      <c r="A51" s="376" t="s">
        <v>205</v>
      </c>
      <c r="B51" s="377"/>
      <c r="C51" s="54" t="s">
        <v>16</v>
      </c>
      <c r="D51" s="26">
        <f>+'㈱塩釜'!D51+'機船'!D51</f>
        <v>0.06</v>
      </c>
      <c r="E51" s="26">
        <f>+'㈱塩釜'!E51+'機船'!E51</f>
        <v>0.103</v>
      </c>
      <c r="F51" s="26">
        <f>+'㈱塩釜'!F51+'機船'!F51</f>
        <v>0.372</v>
      </c>
      <c r="G51" s="26">
        <f>+'㈱塩釜'!G51+'機船'!G51</f>
        <v>0.041</v>
      </c>
      <c r="H51" s="26">
        <f>+'㈱塩釜'!H51+'機船'!H51</f>
        <v>0.092</v>
      </c>
      <c r="I51" s="26">
        <f>+'㈱塩釜'!I51+'機船'!I51</f>
        <v>0.07800000000000001</v>
      </c>
      <c r="J51" s="26">
        <f>+'㈱塩釜'!J51+'機船'!J51</f>
        <v>0.11</v>
      </c>
      <c r="K51" s="26">
        <f>+'㈱塩釜'!K51+'機船'!K51</f>
        <v>3.464</v>
      </c>
      <c r="L51" s="26">
        <f>+'㈱塩釜'!L51+'機船'!L51</f>
        <v>29.060000000000002</v>
      </c>
      <c r="M51" s="26">
        <f>+'㈱塩釜'!M51+'機船'!M51</f>
        <v>13.452000000000002</v>
      </c>
      <c r="N51" s="26">
        <f>+'㈱塩釜'!N51+'機船'!N51</f>
        <v>5.412999999999999</v>
      </c>
      <c r="O51" s="26">
        <f>+'㈱塩釜'!O51+'機船'!O51</f>
        <v>1.176</v>
      </c>
      <c r="P51" s="8">
        <f t="shared" si="0"/>
        <v>53.42100000000001</v>
      </c>
    </row>
    <row r="52" spans="1:16" ht="19.5" customHeight="1">
      <c r="A52" s="378"/>
      <c r="B52" s="379"/>
      <c r="C52" s="48" t="s">
        <v>18</v>
      </c>
      <c r="D52" s="25">
        <f>+'㈱塩釜'!D52+'機船'!D52</f>
        <v>50.61</v>
      </c>
      <c r="E52" s="25">
        <f>+'㈱塩釜'!E52+'機船'!E52</f>
        <v>88.935</v>
      </c>
      <c r="F52" s="25">
        <f>+'㈱塩釜'!F52+'機船'!F52</f>
        <v>180.46</v>
      </c>
      <c r="G52" s="25">
        <f>+'㈱塩釜'!G52+'機船'!G52</f>
        <v>37.044</v>
      </c>
      <c r="H52" s="25">
        <f>+'㈱塩釜'!H52+'機船'!H52</f>
        <v>72.9</v>
      </c>
      <c r="I52" s="25">
        <f>+'㈱塩釜'!I52+'機船'!I52</f>
        <v>55.51200005393595</v>
      </c>
      <c r="J52" s="25">
        <f>+'㈱塩釜'!J52+'機船'!J52</f>
        <v>98.28</v>
      </c>
      <c r="K52" s="25">
        <f>+'㈱塩釜'!K52+'機船'!K52</f>
        <v>4439.858321071328</v>
      </c>
      <c r="L52" s="25">
        <f>+'㈱塩釜'!L52+'機船'!L52</f>
        <v>15527.282701372518</v>
      </c>
      <c r="M52" s="25">
        <f>+'㈱塩釜'!M52+'機船'!M52</f>
        <v>6179.243187684759</v>
      </c>
      <c r="N52" s="25">
        <f>+'㈱塩釜'!N52+'機船'!N52</f>
        <v>2089.7062007682575</v>
      </c>
      <c r="O52" s="25">
        <f>+'㈱塩釜'!O52+'機船'!O52</f>
        <v>353.095</v>
      </c>
      <c r="P52" s="9">
        <f t="shared" si="0"/>
        <v>29172.9264109508</v>
      </c>
    </row>
    <row r="53" spans="1:16" ht="19.5" customHeight="1">
      <c r="A53" s="376" t="s">
        <v>206</v>
      </c>
      <c r="B53" s="377"/>
      <c r="C53" s="54" t="s">
        <v>16</v>
      </c>
      <c r="D53" s="26"/>
      <c r="E53" s="26"/>
      <c r="F53" s="26">
        <f>+'㈱塩釜'!F53+'機船'!F53</f>
        <v>0.2017</v>
      </c>
      <c r="G53" s="26">
        <f>+'㈱塩釜'!G53+'機船'!G53</f>
        <v>0.4005</v>
      </c>
      <c r="H53" s="26">
        <f>+'㈱塩釜'!H53+'機船'!H53</f>
        <v>0.18810000000000002</v>
      </c>
      <c r="I53" s="26">
        <f>+'㈱塩釜'!I53+'機船'!I53</f>
        <v>0.1125</v>
      </c>
      <c r="J53" s="26">
        <f>+'㈱塩釜'!J53+'機船'!J53</f>
        <v>0.0023</v>
      </c>
      <c r="K53" s="26">
        <f>+'㈱塩釜'!K53+'機船'!K53</f>
        <v>0.014</v>
      </c>
      <c r="L53" s="26">
        <f>+'㈱塩釜'!L53+'機船'!L53</f>
        <v>1.3252</v>
      </c>
      <c r="M53" s="26">
        <f>+'㈱塩釜'!M53+'機船'!M53</f>
        <v>6.670599999999999</v>
      </c>
      <c r="N53" s="26">
        <f>+'㈱塩釜'!N53+'機船'!N53</f>
        <v>1.0795</v>
      </c>
      <c r="O53" s="26"/>
      <c r="P53" s="8">
        <f t="shared" si="0"/>
        <v>9.994399999999999</v>
      </c>
    </row>
    <row r="54" spans="1:16" ht="19.5" customHeight="1">
      <c r="A54" s="378"/>
      <c r="B54" s="379"/>
      <c r="C54" s="48" t="s">
        <v>18</v>
      </c>
      <c r="D54" s="25"/>
      <c r="E54" s="25"/>
      <c r="F54" s="25">
        <f>+'㈱塩釜'!F54+'機船'!F54</f>
        <v>206.51402866138105</v>
      </c>
      <c r="G54" s="25">
        <f>+'㈱塩釜'!G54+'機船'!G54</f>
        <v>436.2809944818812</v>
      </c>
      <c r="H54" s="25">
        <f>+'㈱塩釜'!H54+'機船'!H54</f>
        <v>224.95360189313985</v>
      </c>
      <c r="I54" s="25">
        <f>+'㈱塩釜'!I54+'機船'!I54</f>
        <v>111.82320232688672</v>
      </c>
      <c r="J54" s="25">
        <f>+'㈱塩釜'!J54+'機船'!J54</f>
        <v>2.981</v>
      </c>
      <c r="K54" s="25">
        <f>+'㈱塩釜'!K54+'機船'!K54</f>
        <v>18.46799999563821</v>
      </c>
      <c r="L54" s="25">
        <f>+'㈱塩釜'!L54+'機船'!L54</f>
        <v>576.9489999592307</v>
      </c>
      <c r="M54" s="25">
        <f>+'㈱塩釜'!M54+'機船'!M54</f>
        <v>2778.277279958413</v>
      </c>
      <c r="N54" s="25">
        <f>+'㈱塩釜'!N54+'機船'!N54</f>
        <v>511.8592003190081</v>
      </c>
      <c r="O54" s="25"/>
      <c r="P54" s="9">
        <f t="shared" si="0"/>
        <v>4868.106307595579</v>
      </c>
    </row>
    <row r="55" spans="1:16" ht="19.5" customHeight="1">
      <c r="A55" s="44" t="s">
        <v>0</v>
      </c>
      <c r="B55" s="382" t="s">
        <v>132</v>
      </c>
      <c r="C55" s="54" t="s">
        <v>16</v>
      </c>
      <c r="D55" s="26">
        <f>+'㈱塩釜'!D55+'機船'!D55</f>
        <v>0.5373</v>
      </c>
      <c r="E55" s="26">
        <f>+'㈱塩釜'!E55+'機船'!E55</f>
        <v>0.6046</v>
      </c>
      <c r="F55" s="26">
        <f>+'㈱塩釜'!F55+'機船'!F55</f>
        <v>0.7417</v>
      </c>
      <c r="G55" s="26">
        <f>+'㈱塩釜'!G55+'機船'!G55</f>
        <v>0.7345</v>
      </c>
      <c r="H55" s="26">
        <f>+'㈱塩釜'!H55+'機船'!H55</f>
        <v>0.6835</v>
      </c>
      <c r="I55" s="26">
        <f>+'㈱塩釜'!I55+'機船'!I55</f>
        <v>0.6404</v>
      </c>
      <c r="J55" s="26">
        <f>+'㈱塩釜'!J55+'機船'!J55</f>
        <v>0.5749</v>
      </c>
      <c r="K55" s="26">
        <f>+'㈱塩釜'!K55+'機船'!K55</f>
        <v>0.6594</v>
      </c>
      <c r="L55" s="26">
        <f>+'㈱塩釜'!L55+'機船'!L55</f>
        <v>0.7279</v>
      </c>
      <c r="M55" s="26">
        <f>+'㈱塩釜'!M55+'機船'!M55</f>
        <v>0.7251</v>
      </c>
      <c r="N55" s="26">
        <f>+'㈱塩釜'!N55+'機船'!N55</f>
        <v>0.7842</v>
      </c>
      <c r="O55" s="26">
        <f>+'㈱塩釜'!O55+'機船'!O55</f>
        <v>1.2367</v>
      </c>
      <c r="P55" s="8">
        <f t="shared" si="0"/>
        <v>8.6502</v>
      </c>
    </row>
    <row r="56" spans="1:16" ht="19.5" customHeight="1">
      <c r="A56" s="45" t="s">
        <v>38</v>
      </c>
      <c r="B56" s="383"/>
      <c r="C56" s="48" t="s">
        <v>18</v>
      </c>
      <c r="D56" s="25">
        <f>+'㈱塩釜'!D56+'機船'!D56</f>
        <v>507.7486140872999</v>
      </c>
      <c r="E56" s="25">
        <f>+'㈱塩釜'!E56+'機船'!E56</f>
        <v>571.3787358138048</v>
      </c>
      <c r="F56" s="25">
        <f>+'㈱塩釜'!F56+'機船'!F56</f>
        <v>700.4131136133875</v>
      </c>
      <c r="G56" s="25">
        <f>+'㈱塩釜'!G56+'機船'!G56</f>
        <v>713.9339880215008</v>
      </c>
      <c r="H56" s="25">
        <f>+'㈱塩釜'!H56+'機船'!H56</f>
        <v>662.6448073833898</v>
      </c>
      <c r="I56" s="25">
        <f>+'㈱塩釜'!I56+'機船'!I56</f>
        <v>546.5502113729565</v>
      </c>
      <c r="J56" s="25">
        <f>+'㈱塩釜'!J56+'機船'!J56</f>
        <v>501.85223767124836</v>
      </c>
      <c r="K56" s="25">
        <f>+'㈱塩釜'!K56+'機船'!K56</f>
        <v>597.9041892677609</v>
      </c>
      <c r="L56" s="25">
        <f>+'㈱塩釜'!L56+'機船'!L56</f>
        <v>623.6567898741544</v>
      </c>
      <c r="M56" s="25">
        <f>+'㈱塩釜'!M56+'機船'!M56</f>
        <v>640.903316405628</v>
      </c>
      <c r="N56" s="25">
        <f>+'㈱塩釜'!N56+'機船'!N56</f>
        <v>705.6720076943493</v>
      </c>
      <c r="O56" s="25">
        <f>+'㈱塩釜'!O56+'機船'!O56</f>
        <v>1102.6907897684648</v>
      </c>
      <c r="P56" s="9">
        <f t="shared" si="0"/>
        <v>7875.348800973945</v>
      </c>
    </row>
    <row r="57" spans="1:16" ht="19.5" customHeight="1">
      <c r="A57" s="45" t="s">
        <v>17</v>
      </c>
      <c r="B57" s="47" t="s">
        <v>20</v>
      </c>
      <c r="C57" s="54" t="s">
        <v>16</v>
      </c>
      <c r="D57" s="26">
        <f>+'㈱塩釜'!D57+'機船'!D57</f>
        <v>0.0805</v>
      </c>
      <c r="E57" s="26">
        <f>+'㈱塩釜'!E57+'機船'!E57</f>
        <v>0.4292</v>
      </c>
      <c r="F57" s="26">
        <f>+'㈱塩釜'!F57+'機船'!F57</f>
        <v>0.1658</v>
      </c>
      <c r="G57" s="26">
        <f>+'㈱塩釜'!G57+'機船'!G57</f>
        <v>1.672</v>
      </c>
      <c r="H57" s="26">
        <f>+'㈱塩釜'!H57+'機船'!H57</f>
        <v>1.2509</v>
      </c>
      <c r="I57" s="26">
        <f>+'㈱塩釜'!I57+'機船'!I57</f>
        <v>0.20500000000000002</v>
      </c>
      <c r="J57" s="26">
        <f>+'㈱塩釜'!J57+'機船'!J57</f>
        <v>0.505</v>
      </c>
      <c r="K57" s="26">
        <f>+'㈱塩釜'!K57+'機船'!K57</f>
        <v>0.7321</v>
      </c>
      <c r="L57" s="26">
        <f>+'㈱塩釜'!L57+'機船'!L57</f>
        <v>10.094999999999999</v>
      </c>
      <c r="M57" s="26">
        <f>+'㈱塩釜'!M57+'機船'!M57</f>
        <v>8.097100000000001</v>
      </c>
      <c r="N57" s="26">
        <f>+'㈱塩釜'!N57+'機船'!N57</f>
        <v>2.3192000000000004</v>
      </c>
      <c r="O57" s="26">
        <f>+'㈱塩釜'!O57+'機船'!O57</f>
        <v>1.7595</v>
      </c>
      <c r="P57" s="8">
        <f t="shared" si="0"/>
        <v>27.3113</v>
      </c>
    </row>
    <row r="58" spans="1:16" ht="19.5" customHeight="1">
      <c r="A58" s="45" t="s">
        <v>23</v>
      </c>
      <c r="B58" s="48" t="s">
        <v>113</v>
      </c>
      <c r="C58" s="48" t="s">
        <v>18</v>
      </c>
      <c r="D58" s="25">
        <f>+'㈱塩釜'!D58+'機船'!D58</f>
        <v>8.730750734913125</v>
      </c>
      <c r="E58" s="25">
        <f>+'㈱塩釜'!E58+'機船'!E58</f>
        <v>113.06701325171574</v>
      </c>
      <c r="F58" s="25">
        <f>+'㈱塩釜'!F58+'機船'!F58</f>
        <v>17.850002418538217</v>
      </c>
      <c r="G58" s="25">
        <f>+'㈱塩釜'!G58+'機船'!G58</f>
        <v>152.2155978895155</v>
      </c>
      <c r="H58" s="25">
        <f>+'㈱塩釜'!H58+'機船'!H58</f>
        <v>126.16060079115485</v>
      </c>
      <c r="I58" s="25">
        <f>+'㈱塩釜'!I58+'機船'!I58</f>
        <v>106.41860019652911</v>
      </c>
      <c r="J58" s="25">
        <f>+'㈱塩釜'!J58+'機船'!J58</f>
        <v>216.18299994286846</v>
      </c>
      <c r="K58" s="25">
        <f>+'㈱塩釜'!K58+'機船'!K58</f>
        <v>225.97579917688128</v>
      </c>
      <c r="L58" s="25">
        <f>+'㈱塩釜'!L58+'機船'!L58</f>
        <v>1030.7061058616043</v>
      </c>
      <c r="M58" s="25">
        <f>+'㈱塩釜'!M58+'機船'!M58</f>
        <v>1093.3506347232847</v>
      </c>
      <c r="N58" s="25">
        <f>+'㈱塩釜'!N58+'機船'!N58</f>
        <v>303.52968267366276</v>
      </c>
      <c r="O58" s="25">
        <f>+'㈱塩釜'!O58+'機船'!O58</f>
        <v>245.2616381710884</v>
      </c>
      <c r="P58" s="9">
        <f t="shared" si="0"/>
        <v>3639.4494258317563</v>
      </c>
    </row>
    <row r="59" spans="1:16" ht="19.5" customHeight="1">
      <c r="A59" s="45"/>
      <c r="B59" s="380" t="s">
        <v>177</v>
      </c>
      <c r="C59" s="54" t="s">
        <v>16</v>
      </c>
      <c r="D59" s="26">
        <f>+'㈱塩釜'!D59+'機船'!D59</f>
        <v>0.6178</v>
      </c>
      <c r="E59" s="26">
        <f>+'㈱塩釜'!E59+'機船'!E59</f>
        <v>1.0338</v>
      </c>
      <c r="F59" s="26">
        <f>+'㈱塩釜'!F59+'機船'!F59</f>
        <v>0.9075000000000001</v>
      </c>
      <c r="G59" s="26">
        <f>+'㈱塩釜'!G59+'機船'!G59</f>
        <v>2.4065</v>
      </c>
      <c r="H59" s="26">
        <f>+'㈱塩釜'!H59+'機船'!H59</f>
        <v>1.9344</v>
      </c>
      <c r="I59" s="26">
        <f>+'㈱塩釜'!I59+'機船'!I59</f>
        <v>0.8454</v>
      </c>
      <c r="J59" s="26">
        <f>+'㈱塩釜'!J59+'機船'!J59</f>
        <v>1.0799</v>
      </c>
      <c r="K59" s="26">
        <f>+'㈱塩釜'!K59+'機船'!K59</f>
        <v>1.3915</v>
      </c>
      <c r="L59" s="26">
        <f>+'㈱塩釜'!L59+'機船'!L59</f>
        <v>10.822899999999999</v>
      </c>
      <c r="M59" s="26">
        <f>+'㈱塩釜'!M59+'機船'!M59</f>
        <v>8.822199999999999</v>
      </c>
      <c r="N59" s="26">
        <f>+'㈱塩釜'!N59+'機船'!N59</f>
        <v>3.1034000000000006</v>
      </c>
      <c r="O59" s="26">
        <f>+'㈱塩釜'!O59+'機船'!O59</f>
        <v>2.9962</v>
      </c>
      <c r="P59" s="8">
        <f t="shared" si="0"/>
        <v>35.9615</v>
      </c>
    </row>
    <row r="60" spans="1:16" ht="19.5" customHeight="1">
      <c r="A60" s="40"/>
      <c r="B60" s="381"/>
      <c r="C60" s="48" t="s">
        <v>18</v>
      </c>
      <c r="D60" s="25">
        <f>+'㈱塩釜'!D60+'機船'!D60</f>
        <v>516.479364822213</v>
      </c>
      <c r="E60" s="25">
        <f>+'㈱塩釜'!E60+'機船'!E60</f>
        <v>684.4457490655205</v>
      </c>
      <c r="F60" s="25">
        <f>+'㈱塩釜'!F60+'機船'!F60</f>
        <v>718.2631160319257</v>
      </c>
      <c r="G60" s="25">
        <f>+'㈱塩釜'!G60+'機船'!G60</f>
        <v>866.1495859110163</v>
      </c>
      <c r="H60" s="25">
        <f>+'㈱塩釜'!H60+'機船'!H60</f>
        <v>788.8054081745446</v>
      </c>
      <c r="I60" s="25">
        <f>+'㈱塩釜'!I60+'機船'!I60</f>
        <v>652.9688115694856</v>
      </c>
      <c r="J60" s="25">
        <f>+'㈱塩釜'!J60+'機船'!J60</f>
        <v>718.0352376141168</v>
      </c>
      <c r="K60" s="25">
        <f>+'㈱塩釜'!K60+'機船'!K60</f>
        <v>823.8799884446422</v>
      </c>
      <c r="L60" s="25">
        <f>+'㈱塩釜'!L60+'機船'!L60</f>
        <v>1654.3628957357587</v>
      </c>
      <c r="M60" s="25">
        <f>+'㈱塩釜'!M60+'機船'!M60</f>
        <v>1734.2539511289126</v>
      </c>
      <c r="N60" s="25">
        <f>+'㈱塩釜'!N60+'機船'!N60</f>
        <v>1009.2016903680121</v>
      </c>
      <c r="O60" s="25">
        <f>+'㈱塩釜'!O60+'機船'!O60</f>
        <v>1347.9524279395532</v>
      </c>
      <c r="P60" s="9">
        <f t="shared" si="0"/>
        <v>11514.798226805702</v>
      </c>
    </row>
    <row r="61" spans="1:16" ht="19.5" customHeight="1">
      <c r="A61" s="45" t="s">
        <v>0</v>
      </c>
      <c r="B61" s="382" t="s">
        <v>115</v>
      </c>
      <c r="C61" s="54" t="s">
        <v>16</v>
      </c>
      <c r="D61" s="26">
        <f>+'㈱塩釜'!D61+'機船'!D61</f>
        <v>12.664399999999999</v>
      </c>
      <c r="E61" s="26">
        <f>+'㈱塩釜'!E61+'機船'!E61</f>
        <v>0.0074</v>
      </c>
      <c r="F61" s="26">
        <f>+'㈱塩釜'!F61+'機船'!F61</f>
        <v>0.0959</v>
      </c>
      <c r="G61" s="26">
        <f>+'㈱塩釜'!G61+'機船'!G61</f>
        <v>11.4249</v>
      </c>
      <c r="H61" s="26">
        <f>+'㈱塩釜'!H61+'機船'!H61</f>
        <v>0.4546</v>
      </c>
      <c r="I61" s="26">
        <f>+'㈱塩釜'!I61+'機船'!I61</f>
        <v>0.28</v>
      </c>
      <c r="J61" s="26">
        <f>+'㈱塩釜'!J61+'機船'!J61</f>
        <v>1.1965</v>
      </c>
      <c r="K61" s="26">
        <f>+'㈱塩釜'!K61+'機船'!K61</f>
        <v>0.558</v>
      </c>
      <c r="L61" s="26">
        <f>+'㈱塩釜'!L61+'機船'!L61</f>
        <v>0.4266</v>
      </c>
      <c r="M61" s="26">
        <f>+'㈱塩釜'!M61+'機船'!M61</f>
        <v>0.2837</v>
      </c>
      <c r="N61" s="26">
        <f>+'㈱塩釜'!N61+'機船'!N61</f>
        <v>35.3035</v>
      </c>
      <c r="O61" s="26">
        <f>+'㈱塩釜'!O61+'機船'!O61</f>
        <v>10.1585</v>
      </c>
      <c r="P61" s="8">
        <f t="shared" si="0"/>
        <v>72.854</v>
      </c>
    </row>
    <row r="62" spans="1:16" ht="19.5" customHeight="1">
      <c r="A62" s="45" t="s">
        <v>49</v>
      </c>
      <c r="B62" s="383"/>
      <c r="C62" s="48" t="s">
        <v>18</v>
      </c>
      <c r="D62" s="25">
        <f>+'㈱塩釜'!D62+'機船'!D62</f>
        <v>574.8560720641445</v>
      </c>
      <c r="E62" s="25">
        <f>+'㈱塩釜'!E62+'機船'!E62</f>
        <v>0.5932502448403987</v>
      </c>
      <c r="F62" s="25">
        <f>+'㈱塩釜'!F62+'機船'!F62</f>
        <v>5.507250893326264</v>
      </c>
      <c r="G62" s="25">
        <f>+'㈱塩釜'!G62+'機船'!G62</f>
        <v>578.278439876002</v>
      </c>
      <c r="H62" s="25">
        <f>+'㈱塩釜'!H62+'機船'!H62</f>
        <v>31.154760347135813</v>
      </c>
      <c r="I62" s="25">
        <f>+'㈱塩釜'!I62+'機船'!I62</f>
        <v>21.124800439577978</v>
      </c>
      <c r="J62" s="25">
        <f>+'㈱塩釜'!J62+'機船'!J62</f>
        <v>90.32579958086</v>
      </c>
      <c r="K62" s="25">
        <f>+'㈱塩釜'!K62+'機船'!K62</f>
        <v>42.184799242792806</v>
      </c>
      <c r="L62" s="25">
        <f>+'㈱塩釜'!L62+'機船'!L62</f>
        <v>48.74579920855116</v>
      </c>
      <c r="M62" s="25">
        <f>+'㈱塩釜'!M62+'機船'!M62</f>
        <v>24.5851198621195</v>
      </c>
      <c r="N62" s="25">
        <f>+'㈱塩釜'!N62+'機船'!N62</f>
        <v>2863.976431227589</v>
      </c>
      <c r="O62" s="25">
        <f>+'㈱塩釜'!O62+'機船'!O62</f>
        <v>819.9251977739364</v>
      </c>
      <c r="P62" s="9">
        <f t="shared" si="0"/>
        <v>5101.257720760876</v>
      </c>
    </row>
    <row r="63" spans="1:16" ht="19.5" customHeight="1">
      <c r="A63" s="45" t="s">
        <v>0</v>
      </c>
      <c r="B63" s="47" t="s">
        <v>50</v>
      </c>
      <c r="C63" s="54" t="s">
        <v>16</v>
      </c>
      <c r="D63" s="26">
        <f>+'㈱塩釜'!D63+'機船'!D63</f>
        <v>17.24</v>
      </c>
      <c r="E63" s="26">
        <f>+'㈱塩釜'!E63+'機船'!E63</f>
        <v>4.19</v>
      </c>
      <c r="F63" s="26">
        <f>+'㈱塩釜'!F63+'機船'!F63</f>
        <v>4.13</v>
      </c>
      <c r="G63" s="26">
        <f>+'㈱塩釜'!G63+'機船'!G63</f>
        <v>18.103</v>
      </c>
      <c r="H63" s="26">
        <f>+'㈱塩釜'!H63+'機船'!H63</f>
        <v>9.03</v>
      </c>
      <c r="I63" s="26">
        <f>+'㈱塩釜'!I63+'機船'!I63</f>
        <v>1.9</v>
      </c>
      <c r="J63" s="26">
        <f>+'㈱塩釜'!J63+'機船'!J63</f>
        <v>12.49</v>
      </c>
      <c r="K63" s="26">
        <f>+'㈱塩釜'!K63+'機船'!K63</f>
        <v>13.18</v>
      </c>
      <c r="L63" s="26">
        <f>+'㈱塩釜'!L63+'機船'!L63</f>
        <v>76.555</v>
      </c>
      <c r="M63" s="26">
        <f>+'㈱塩釜'!M63+'機船'!M63</f>
        <v>89.475</v>
      </c>
      <c r="N63" s="26">
        <f>+'㈱塩釜'!N63+'機船'!N63</f>
        <v>52.801</v>
      </c>
      <c r="O63" s="26">
        <f>+'㈱塩釜'!O63+'機船'!O63</f>
        <v>31.41</v>
      </c>
      <c r="P63" s="8">
        <f t="shared" si="0"/>
        <v>330.504</v>
      </c>
    </row>
    <row r="64" spans="1:16" ht="19.5" customHeight="1">
      <c r="A64" s="45" t="s">
        <v>51</v>
      </c>
      <c r="B64" s="48" t="s">
        <v>116</v>
      </c>
      <c r="C64" s="48" t="s">
        <v>18</v>
      </c>
      <c r="D64" s="25">
        <f>+'㈱塩釜'!D64+'機船'!D64</f>
        <v>1438.71</v>
      </c>
      <c r="E64" s="25">
        <f>+'㈱塩釜'!E64+'機船'!E64</f>
        <v>346.185</v>
      </c>
      <c r="F64" s="25">
        <f>+'㈱塩釜'!F64+'機船'!F64</f>
        <v>339.833</v>
      </c>
      <c r="G64" s="25">
        <f>+'㈱塩釜'!G64+'機船'!G64</f>
        <v>1564.0991912833565</v>
      </c>
      <c r="H64" s="25">
        <f>+'㈱塩釜'!H64+'機船'!H64</f>
        <v>780.192</v>
      </c>
      <c r="I64" s="25">
        <f>+'㈱塩釜'!I64+'機船'!I64</f>
        <v>151.2</v>
      </c>
      <c r="J64" s="25">
        <f>+'㈱塩釜'!J64+'機船'!J64</f>
        <v>1060.236</v>
      </c>
      <c r="K64" s="25">
        <f>+'㈱塩釜'!K64+'機船'!K64</f>
        <v>1139.291999990307</v>
      </c>
      <c r="L64" s="25">
        <f>+'㈱塩釜'!L64+'機船'!L64</f>
        <v>6554.735944974711</v>
      </c>
      <c r="M64" s="25">
        <f>+'㈱塩釜'!M64+'機船'!M64</f>
        <v>7704.050379313807</v>
      </c>
      <c r="N64" s="25">
        <f>+'㈱塩釜'!N64+'機船'!N64</f>
        <v>4001.3676158558474</v>
      </c>
      <c r="O64" s="25">
        <f>+'㈱塩釜'!O64+'機船'!O64</f>
        <v>2377.6199954264184</v>
      </c>
      <c r="P64" s="9">
        <f t="shared" si="0"/>
        <v>27457.521126844447</v>
      </c>
    </row>
    <row r="65" spans="1:16" ht="19.5" customHeight="1">
      <c r="A65" s="45" t="s">
        <v>0</v>
      </c>
      <c r="B65" s="382" t="s">
        <v>53</v>
      </c>
      <c r="C65" s="54" t="s">
        <v>16</v>
      </c>
      <c r="D65" s="26"/>
      <c r="E65" s="26"/>
      <c r="F65" s="26"/>
      <c r="G65" s="26">
        <f>+'㈱塩釜'!G65+'機船'!G65</f>
        <v>0.07400000000000001</v>
      </c>
      <c r="H65" s="26">
        <f>+'㈱塩釜'!H65+'機船'!H65</f>
        <v>0.076</v>
      </c>
      <c r="I65" s="26"/>
      <c r="J65" s="26"/>
      <c r="K65" s="26"/>
      <c r="L65" s="26"/>
      <c r="M65" s="26"/>
      <c r="N65" s="26"/>
      <c r="O65" s="26"/>
      <c r="P65" s="8">
        <f t="shared" si="0"/>
        <v>0.15000000000000002</v>
      </c>
    </row>
    <row r="66" spans="1:16" ht="19.5" customHeight="1">
      <c r="A66" s="45" t="s">
        <v>23</v>
      </c>
      <c r="B66" s="383"/>
      <c r="C66" s="48" t="s">
        <v>18</v>
      </c>
      <c r="D66" s="25"/>
      <c r="E66" s="25"/>
      <c r="F66" s="25"/>
      <c r="G66" s="25">
        <f>+'㈱塩釜'!G66+'機船'!G66</f>
        <v>5.917999909397934</v>
      </c>
      <c r="H66" s="25">
        <f>+'㈱塩釜'!H66+'機船'!H66</f>
        <v>8.208</v>
      </c>
      <c r="I66" s="25"/>
      <c r="J66" s="25"/>
      <c r="K66" s="25"/>
      <c r="L66" s="25"/>
      <c r="M66" s="25"/>
      <c r="N66" s="25"/>
      <c r="O66" s="25"/>
      <c r="P66" s="9">
        <f t="shared" si="0"/>
        <v>14.125999909397933</v>
      </c>
    </row>
    <row r="67" spans="1:16" ht="19.5" customHeight="1">
      <c r="A67" s="50"/>
      <c r="B67" s="47" t="s">
        <v>20</v>
      </c>
      <c r="C67" s="54" t="s">
        <v>16</v>
      </c>
      <c r="D67" s="26">
        <f>+'㈱塩釜'!D67+'機船'!D67</f>
        <v>0.45099999999999996</v>
      </c>
      <c r="E67" s="26">
        <f>+'㈱塩釜'!E67+'機船'!E67</f>
        <v>0.222</v>
      </c>
      <c r="F67" s="26">
        <f>+'㈱塩釜'!F67+'機船'!F67</f>
        <v>0.288</v>
      </c>
      <c r="G67" s="26">
        <f>+'㈱塩釜'!G67+'機船'!G67</f>
        <v>0.5663</v>
      </c>
      <c r="H67" s="26">
        <f>+'㈱塩釜'!H67+'機船'!H67</f>
        <v>0.45399999999999996</v>
      </c>
      <c r="I67" s="26">
        <f>+'㈱塩釜'!I67+'機船'!I67</f>
        <v>0.208</v>
      </c>
      <c r="J67" s="26">
        <f>+'㈱塩釜'!J67+'機船'!J67</f>
        <v>0.198</v>
      </c>
      <c r="K67" s="26">
        <f>+'㈱塩釜'!K67+'機船'!K67</f>
        <v>0.209</v>
      </c>
      <c r="L67" s="26">
        <f>+'㈱塩釜'!L67+'機船'!L67</f>
        <v>0.5609999999999999</v>
      </c>
      <c r="M67" s="26">
        <f>+'㈱塩釜'!M67+'機船'!M67</f>
        <v>1.629</v>
      </c>
      <c r="N67" s="26">
        <f>+'㈱塩釜'!N67+'機船'!N67</f>
        <v>0.542</v>
      </c>
      <c r="O67" s="26">
        <f>+'㈱塩釜'!O67+'機船'!O67</f>
        <v>0.637</v>
      </c>
      <c r="P67" s="8">
        <f t="shared" si="0"/>
        <v>5.965299999999999</v>
      </c>
    </row>
    <row r="68" spans="1:16" ht="19.5" customHeight="1" thickBot="1">
      <c r="A68" s="51" t="s">
        <v>0</v>
      </c>
      <c r="B68" s="52" t="s">
        <v>116</v>
      </c>
      <c r="C68" s="52" t="s">
        <v>18</v>
      </c>
      <c r="D68" s="19">
        <f>+'㈱塩釜'!D68+'機船'!D68</f>
        <v>3.505400313311277</v>
      </c>
      <c r="E68" s="19">
        <f>+'㈱塩釜'!E68+'機船'!E68</f>
        <v>10.648</v>
      </c>
      <c r="F68" s="19">
        <f>+'㈱塩釜'!F68+'機船'!F68</f>
        <v>6.084</v>
      </c>
      <c r="G68" s="19">
        <f>+'㈱塩釜'!G68+'機船'!G68</f>
        <v>35.5195997368916</v>
      </c>
      <c r="H68" s="19">
        <f>+'㈱塩釜'!H68+'機船'!H68</f>
        <v>18.269400021419965</v>
      </c>
      <c r="I68" s="19">
        <f>+'㈱塩釜'!I68+'機船'!I68</f>
        <v>1.36</v>
      </c>
      <c r="J68" s="19">
        <f>+'㈱塩釜'!J68+'機船'!J68</f>
        <v>9.995</v>
      </c>
      <c r="K68" s="19">
        <f>+'㈱塩釜'!K68+'機船'!K68</f>
        <v>8.975</v>
      </c>
      <c r="L68" s="19">
        <f>+'㈱塩釜'!L68+'機船'!L68</f>
        <v>40.30519944343445</v>
      </c>
      <c r="M68" s="19">
        <f>+'㈱塩釜'!M68+'機船'!M68</f>
        <v>110.50599942125805</v>
      </c>
      <c r="N68" s="19">
        <f>+'㈱塩釜'!N68+'機船'!N68</f>
        <v>167.41080175825422</v>
      </c>
      <c r="O68" s="19">
        <f>+'㈱塩釜'!O68+'機船'!O68</f>
        <v>139.15799881201113</v>
      </c>
      <c r="P68" s="10">
        <f t="shared" si="0"/>
        <v>551.7363995065807</v>
      </c>
    </row>
    <row r="69" ht="19.5" customHeight="1">
      <c r="P69" s="11"/>
    </row>
    <row r="70" ht="19.5" customHeight="1">
      <c r="P70" s="11"/>
    </row>
    <row r="71" ht="19.5" customHeight="1">
      <c r="P71" s="11"/>
    </row>
    <row r="72" ht="19.5" customHeight="1">
      <c r="P72" s="11"/>
    </row>
    <row r="73" ht="19.5" customHeight="1">
      <c r="P73" s="11"/>
    </row>
    <row r="74" spans="1:16" ht="19.5" customHeight="1" thickBot="1">
      <c r="A74" s="12" t="s">
        <v>87</v>
      </c>
      <c r="B74" s="3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 t="s">
        <v>146</v>
      </c>
      <c r="P74" s="12"/>
    </row>
    <row r="75" spans="1:16" ht="19.5" customHeight="1">
      <c r="A75" s="40"/>
      <c r="B75" s="53"/>
      <c r="C75" s="53"/>
      <c r="D75" s="42" t="s">
        <v>2</v>
      </c>
      <c r="E75" s="42" t="s">
        <v>3</v>
      </c>
      <c r="F75" s="42" t="s">
        <v>4</v>
      </c>
      <c r="G75" s="42" t="s">
        <v>5</v>
      </c>
      <c r="H75" s="42" t="s">
        <v>6</v>
      </c>
      <c r="I75" s="42" t="s">
        <v>7</v>
      </c>
      <c r="J75" s="42" t="s">
        <v>8</v>
      </c>
      <c r="K75" s="42" t="s">
        <v>9</v>
      </c>
      <c r="L75" s="42" t="s">
        <v>10</v>
      </c>
      <c r="M75" s="42" t="s">
        <v>11</v>
      </c>
      <c r="N75" s="42" t="s">
        <v>12</v>
      </c>
      <c r="O75" s="42" t="s">
        <v>13</v>
      </c>
      <c r="P75" s="43" t="s">
        <v>14</v>
      </c>
    </row>
    <row r="76" spans="1:16" ht="19.5" customHeight="1">
      <c r="A76" s="45" t="s">
        <v>49</v>
      </c>
      <c r="B76" s="380" t="s">
        <v>208</v>
      </c>
      <c r="C76" s="54" t="s">
        <v>16</v>
      </c>
      <c r="D76" s="20">
        <f>+'㈱塩釜'!D76+'機船'!D76</f>
        <v>30.3554</v>
      </c>
      <c r="E76" s="20">
        <f>+'㈱塩釜'!E76+'機船'!E76</f>
        <v>4.4194</v>
      </c>
      <c r="F76" s="20">
        <f>+'㈱塩釜'!F76+'機船'!F76</f>
        <v>4.5139000000000005</v>
      </c>
      <c r="G76" s="20">
        <f>+'㈱塩釜'!G76+'機船'!G76</f>
        <v>30.168200000000002</v>
      </c>
      <c r="H76" s="20">
        <f>+'㈱塩釜'!H76+'機船'!H76</f>
        <v>10.0146</v>
      </c>
      <c r="I76" s="20">
        <f>+'㈱塩釜'!I76+'機船'!I76</f>
        <v>2.388</v>
      </c>
      <c r="J76" s="20">
        <f>+'㈱塩釜'!J76+'機船'!J76</f>
        <v>13.884500000000001</v>
      </c>
      <c r="K76" s="20">
        <f>+'㈱塩釜'!K76+'機船'!K76</f>
        <v>13.947</v>
      </c>
      <c r="L76" s="20">
        <f>+'㈱塩釜'!L76+'機船'!L76</f>
        <v>77.5426</v>
      </c>
      <c r="M76" s="20">
        <f>+'㈱塩釜'!M76+'機船'!M76</f>
        <v>91.3877</v>
      </c>
      <c r="N76" s="20">
        <f>+'㈱塩釜'!N76+'機船'!N76</f>
        <v>88.6465</v>
      </c>
      <c r="O76" s="20">
        <f>+'㈱塩釜'!O76+'機船'!O76</f>
        <v>42.2055</v>
      </c>
      <c r="P76" s="8">
        <f>SUM(D76:O76)</f>
        <v>409.4733</v>
      </c>
    </row>
    <row r="77" spans="1:16" ht="19.5" customHeight="1">
      <c r="A77" s="40" t="s">
        <v>51</v>
      </c>
      <c r="B77" s="381"/>
      <c r="C77" s="48" t="s">
        <v>18</v>
      </c>
      <c r="D77" s="25">
        <f>+'㈱塩釜'!D77+'機船'!D77</f>
        <v>2017.071472377456</v>
      </c>
      <c r="E77" s="25">
        <f>+'㈱塩釜'!E77+'機船'!E77</f>
        <v>357.42625024484045</v>
      </c>
      <c r="F77" s="25">
        <f>+'㈱塩釜'!F77+'機船'!F77</f>
        <v>351.4242508933263</v>
      </c>
      <c r="G77" s="25">
        <f>+'㈱塩釜'!G77+'機船'!G77</f>
        <v>2183.815230805648</v>
      </c>
      <c r="H77" s="25">
        <f>+'㈱塩釜'!H77+'機船'!H77</f>
        <v>837.8241603685558</v>
      </c>
      <c r="I77" s="25">
        <f>+'㈱塩釜'!I77+'機船'!I77</f>
        <v>173.68480043957797</v>
      </c>
      <c r="J77" s="25">
        <f>+'㈱塩釜'!J77+'機船'!J77</f>
        <v>1160.55679958086</v>
      </c>
      <c r="K77" s="25">
        <f>+'㈱塩釜'!K77+'機船'!K77</f>
        <v>1190.4517992330998</v>
      </c>
      <c r="L77" s="25">
        <f>+'㈱塩釜'!L77+'機船'!L77</f>
        <v>6643.786943626696</v>
      </c>
      <c r="M77" s="25">
        <f>+'㈱塩釜'!M77+'機船'!M77</f>
        <v>7839.141498597184</v>
      </c>
      <c r="N77" s="25">
        <f>+'㈱塩釜'!N77+'機船'!N77</f>
        <v>7032.754848841691</v>
      </c>
      <c r="O77" s="25">
        <f>+'㈱塩釜'!O77+'機船'!O77</f>
        <v>3336.7031920123654</v>
      </c>
      <c r="P77" s="9">
        <f>SUM(D77:O77)</f>
        <v>33124.641247021296</v>
      </c>
    </row>
    <row r="78" spans="1:16" ht="19.5" customHeight="1">
      <c r="A78" s="45" t="s">
        <v>0</v>
      </c>
      <c r="B78" s="382" t="s">
        <v>54</v>
      </c>
      <c r="C78" s="54" t="s">
        <v>16</v>
      </c>
      <c r="D78" s="26">
        <f>+'㈱塩釜'!D78+'機船'!D78</f>
        <v>2.0056000000000003</v>
      </c>
      <c r="E78" s="26">
        <f>+'㈱塩釜'!E78+'機船'!E78</f>
        <v>0.9116000000000001</v>
      </c>
      <c r="F78" s="26">
        <f>+'㈱塩釜'!F78+'機船'!F78</f>
        <v>1.2523</v>
      </c>
      <c r="G78" s="26">
        <f>+'㈱塩釜'!G78+'機船'!G78</f>
        <v>2.729</v>
      </c>
      <c r="H78" s="26">
        <f>+'㈱塩釜'!H78+'機船'!H78</f>
        <v>23.2225</v>
      </c>
      <c r="I78" s="26">
        <f>+'㈱塩釜'!I78+'機船'!I78</f>
        <v>71.6549</v>
      </c>
      <c r="J78" s="26">
        <f>+'㈱塩釜'!J78+'機船'!J78</f>
        <v>52.797399999999996</v>
      </c>
      <c r="K78" s="26">
        <f>+'㈱塩釜'!K78+'機船'!K78</f>
        <v>23.6261</v>
      </c>
      <c r="L78" s="26">
        <f>+'㈱塩釜'!L78+'機船'!L78</f>
        <v>14.407499999999999</v>
      </c>
      <c r="M78" s="26">
        <f>+'㈱塩釜'!M78+'機船'!M78</f>
        <v>10.0075</v>
      </c>
      <c r="N78" s="26">
        <f>+'㈱塩釜'!N78+'機船'!N78</f>
        <v>5.163</v>
      </c>
      <c r="O78" s="26">
        <f>+'㈱塩釜'!O78+'機船'!O78</f>
        <v>6.3551</v>
      </c>
      <c r="P78" s="8">
        <f>SUM(D78:O78)</f>
        <v>214.13250000000002</v>
      </c>
    </row>
    <row r="79" spans="1:16" ht="19.5" customHeight="1">
      <c r="A79" s="45" t="s">
        <v>34</v>
      </c>
      <c r="B79" s="383"/>
      <c r="C79" s="48" t="s">
        <v>18</v>
      </c>
      <c r="D79" s="25">
        <f>+'㈱塩釜'!D79+'機船'!D79</f>
        <v>4084.2315179145853</v>
      </c>
      <c r="E79" s="25">
        <f>+'㈱塩釜'!E79+'機船'!E79</f>
        <v>1816.1613609798076</v>
      </c>
      <c r="F79" s="25">
        <f>+'㈱塩釜'!F79+'機船'!F79</f>
        <v>2516.4114407258367</v>
      </c>
      <c r="G79" s="25">
        <f>+'㈱塩釜'!G79+'機船'!G79</f>
        <v>4337.252152072595</v>
      </c>
      <c r="H79" s="25">
        <f>+'㈱塩釜'!H79+'機船'!H79</f>
        <v>13480.55974319246</v>
      </c>
      <c r="I79" s="25">
        <f>+'㈱塩釜'!I79+'機船'!I79</f>
        <v>30787.60249821613</v>
      </c>
      <c r="J79" s="25">
        <f>+'㈱塩釜'!J79+'機船'!J79</f>
        <v>35291.15902019602</v>
      </c>
      <c r="K79" s="25">
        <f>+'㈱塩釜'!K79+'機船'!K79</f>
        <v>29833.053989744032</v>
      </c>
      <c r="L79" s="25">
        <f>+'㈱塩釜'!L79+'機船'!L79</f>
        <v>20665.122305938232</v>
      </c>
      <c r="M79" s="25">
        <f>+'㈱塩釜'!M79+'機船'!M79</f>
        <v>18483.587306502155</v>
      </c>
      <c r="N79" s="25">
        <f>+'㈱塩釜'!N79+'機船'!N79</f>
        <v>6778.4525166910125</v>
      </c>
      <c r="O79" s="25">
        <f>+'㈱塩釜'!O79+'機船'!O79</f>
        <v>8632.877688888731</v>
      </c>
      <c r="P79" s="9">
        <f>SUM(D79:O79)</f>
        <v>176706.4715410616</v>
      </c>
    </row>
    <row r="80" spans="1:16" ht="19.5" customHeight="1">
      <c r="A80" s="45" t="s">
        <v>0</v>
      </c>
      <c r="B80" s="382" t="s">
        <v>55</v>
      </c>
      <c r="C80" s="54" t="s">
        <v>16</v>
      </c>
      <c r="D80" s="26">
        <f>+'㈱塩釜'!D80+'機船'!D80</f>
        <v>0.0318</v>
      </c>
      <c r="E80" s="26">
        <f>+'㈱塩釜'!E80+'機船'!E80</f>
        <v>0.029</v>
      </c>
      <c r="F80" s="26">
        <f>+'㈱塩釜'!F80+'機船'!F80</f>
        <v>0.1254</v>
      </c>
      <c r="G80" s="26">
        <f>+'㈱塩釜'!G80+'機船'!G80</f>
        <v>0.1637</v>
      </c>
      <c r="H80" s="26">
        <f>+'㈱塩釜'!H80+'機船'!H80</f>
        <v>0.0109</v>
      </c>
      <c r="I80" s="26">
        <f>+'㈱塩釜'!I80+'機船'!I80</f>
        <v>0.018</v>
      </c>
      <c r="J80" s="26"/>
      <c r="K80" s="26"/>
      <c r="L80" s="26">
        <f>+'㈱塩釜'!L80+'機船'!L80</f>
        <v>0.029</v>
      </c>
      <c r="M80" s="26"/>
      <c r="N80" s="26"/>
      <c r="O80" s="26"/>
      <c r="P80" s="8">
        <f aca="true" t="shared" si="1" ref="P80:P105">SUM(D80:O80)</f>
        <v>0.4078000000000001</v>
      </c>
    </row>
    <row r="81" spans="1:16" ht="19.5" customHeight="1">
      <c r="A81" s="45" t="s">
        <v>0</v>
      </c>
      <c r="B81" s="383"/>
      <c r="C81" s="48" t="s">
        <v>18</v>
      </c>
      <c r="D81" s="25">
        <f>+'㈱塩釜'!D81+'機船'!D81</f>
        <v>5.786</v>
      </c>
      <c r="E81" s="25">
        <f>+'㈱塩釜'!E81+'機船'!E81</f>
        <v>3.675</v>
      </c>
      <c r="F81" s="25">
        <f>+'㈱塩釜'!F81+'機船'!F81</f>
        <v>18.783</v>
      </c>
      <c r="G81" s="25">
        <f>+'㈱塩釜'!G81+'機船'!G81</f>
        <v>15.013</v>
      </c>
      <c r="H81" s="25">
        <f>+'㈱塩釜'!H81+'機船'!H81</f>
        <v>1.177</v>
      </c>
      <c r="I81" s="25">
        <f>+'㈱塩釜'!I81+'機船'!I81</f>
        <v>1.533</v>
      </c>
      <c r="J81" s="25"/>
      <c r="K81" s="25"/>
      <c r="L81" s="25">
        <f>+'㈱塩釜'!L81+'機船'!L81</f>
        <v>2.57</v>
      </c>
      <c r="M81" s="25"/>
      <c r="N81" s="25"/>
      <c r="O81" s="25"/>
      <c r="P81" s="9">
        <f t="shared" si="1"/>
        <v>48.537</v>
      </c>
    </row>
    <row r="82" spans="1:16" ht="19.5" customHeight="1">
      <c r="A82" s="45" t="s">
        <v>56</v>
      </c>
      <c r="B82" s="47" t="s">
        <v>210</v>
      </c>
      <c r="C82" s="54" t="s">
        <v>16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8"/>
    </row>
    <row r="83" spans="1:16" ht="19.5" customHeight="1">
      <c r="A83" s="45"/>
      <c r="B83" s="48" t="s">
        <v>211</v>
      </c>
      <c r="C83" s="48" t="s">
        <v>18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9"/>
    </row>
    <row r="84" spans="1:16" ht="19.5" customHeight="1">
      <c r="A84" s="45"/>
      <c r="B84" s="382" t="s">
        <v>59</v>
      </c>
      <c r="C84" s="54" t="s">
        <v>16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8"/>
    </row>
    <row r="85" spans="1:16" ht="19.5" customHeight="1">
      <c r="A85" s="45" t="s">
        <v>17</v>
      </c>
      <c r="B85" s="383"/>
      <c r="C85" s="48" t="s">
        <v>18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9"/>
    </row>
    <row r="86" spans="1:16" ht="19.5" customHeight="1">
      <c r="A86" s="45"/>
      <c r="B86" s="47" t="s">
        <v>20</v>
      </c>
      <c r="C86" s="54" t="s">
        <v>16</v>
      </c>
      <c r="D86" s="26">
        <f>+'㈱塩釜'!D86+'機船'!D86</f>
        <v>19.9929</v>
      </c>
      <c r="E86" s="26">
        <f>+'㈱塩釜'!E86+'機船'!E86</f>
        <v>5.835</v>
      </c>
      <c r="F86" s="26">
        <f>+'㈱塩釜'!F86+'機船'!F86</f>
        <v>6.0440000000000005</v>
      </c>
      <c r="G86" s="26">
        <f>+'㈱塩釜'!G86+'機船'!G86</f>
        <v>10.4764</v>
      </c>
      <c r="H86" s="26">
        <f>+'㈱塩釜'!H86+'機船'!H86</f>
        <v>21.977899999999998</v>
      </c>
      <c r="I86" s="26">
        <f>+'㈱塩釜'!I86+'機船'!I86</f>
        <v>18.5421</v>
      </c>
      <c r="J86" s="26">
        <f>+'㈱塩釜'!J86+'機船'!J86</f>
        <v>7.2361</v>
      </c>
      <c r="K86" s="26">
        <f>+'㈱塩釜'!K86+'機船'!K86</f>
        <v>4.0517</v>
      </c>
      <c r="L86" s="26">
        <f>+'㈱塩釜'!L86+'機船'!L86</f>
        <v>11.7888</v>
      </c>
      <c r="M86" s="26">
        <f>+'㈱塩釜'!M86+'機船'!M86</f>
        <v>5.3787</v>
      </c>
      <c r="N86" s="26">
        <f>+'㈱塩釜'!N86+'機船'!N86</f>
        <v>9.8828</v>
      </c>
      <c r="O86" s="26">
        <f>+'㈱塩釜'!O86+'機船'!O86</f>
        <v>20.831699999999998</v>
      </c>
      <c r="P86" s="8">
        <f t="shared" si="1"/>
        <v>142.0381</v>
      </c>
    </row>
    <row r="87" spans="1:16" ht="19.5" customHeight="1">
      <c r="A87" s="45"/>
      <c r="B87" s="48" t="s">
        <v>212</v>
      </c>
      <c r="C87" s="48" t="s">
        <v>18</v>
      </c>
      <c r="D87" s="25">
        <f>+'㈱塩釜'!D87+'機船'!D87</f>
        <v>7971.847559307433</v>
      </c>
      <c r="E87" s="25">
        <f>+'㈱塩釜'!E87+'機船'!E87</f>
        <v>3321.936208917762</v>
      </c>
      <c r="F87" s="25">
        <f>+'㈱塩釜'!F87+'機船'!F87</f>
        <v>4411.181835687995</v>
      </c>
      <c r="G87" s="25">
        <f>+'㈱塩釜'!G87+'機船'!G87</f>
        <v>6277.965503321939</v>
      </c>
      <c r="H87" s="25">
        <f>+'㈱塩釜'!H87+'機船'!H87</f>
        <v>8874.924432914004</v>
      </c>
      <c r="I87" s="25">
        <f>+'㈱塩釜'!I87+'機船'!I87</f>
        <v>7194.488610277451</v>
      </c>
      <c r="J87" s="25">
        <f>+'㈱塩釜'!J87+'機船'!J87</f>
        <v>5309.281463473545</v>
      </c>
      <c r="K87" s="25">
        <f>+'㈱塩釜'!K87+'機船'!K87</f>
        <v>4841.758839908128</v>
      </c>
      <c r="L87" s="25">
        <f>+'㈱塩釜'!L87+'機船'!L87</f>
        <v>6538.879406093725</v>
      </c>
      <c r="M87" s="25">
        <f>+'㈱塩釜'!M87+'機船'!M87</f>
        <v>4429.909190411599</v>
      </c>
      <c r="N87" s="25">
        <f>+'㈱塩釜'!N87+'機船'!N87</f>
        <v>5723.905309434254</v>
      </c>
      <c r="O87" s="25">
        <f>+'㈱塩釜'!O87+'機船'!O87</f>
        <v>17573.6473848268</v>
      </c>
      <c r="P87" s="9">
        <f t="shared" si="1"/>
        <v>82469.72574457464</v>
      </c>
    </row>
    <row r="88" spans="1:16" ht="19.5" customHeight="1">
      <c r="A88" s="45" t="s">
        <v>23</v>
      </c>
      <c r="B88" s="380" t="s">
        <v>194</v>
      </c>
      <c r="C88" s="54" t="s">
        <v>16</v>
      </c>
      <c r="D88" s="26">
        <f>+'㈱塩釜'!D88+'機船'!D88</f>
        <v>22.0303</v>
      </c>
      <c r="E88" s="26">
        <f>+'㈱塩釜'!E88+'機船'!E88</f>
        <v>6.7756</v>
      </c>
      <c r="F88" s="26">
        <f>+'㈱塩釜'!F88+'機船'!F88</f>
        <v>7.4216999999999995</v>
      </c>
      <c r="G88" s="26">
        <f>+'㈱塩釜'!G88+'機船'!G88</f>
        <v>13.3691</v>
      </c>
      <c r="H88" s="26">
        <f>+'㈱塩釜'!H88+'機船'!H88</f>
        <v>45.2113</v>
      </c>
      <c r="I88" s="26">
        <f>+'㈱塩釜'!I88+'機船'!I88</f>
        <v>90.215</v>
      </c>
      <c r="J88" s="26">
        <f>+'㈱塩釜'!J88+'機船'!J88</f>
        <v>60.033500000000004</v>
      </c>
      <c r="K88" s="26">
        <f>+'㈱塩釜'!K88+'機船'!K88</f>
        <v>27.677799999999998</v>
      </c>
      <c r="L88" s="26">
        <f>+'㈱塩釜'!L88+'機船'!L88</f>
        <v>26.2253</v>
      </c>
      <c r="M88" s="26">
        <f>+'㈱塩釜'!M88+'機船'!M88</f>
        <v>15.3862</v>
      </c>
      <c r="N88" s="26">
        <f>+'㈱塩釜'!N88+'機船'!N88</f>
        <v>15.0458</v>
      </c>
      <c r="O88" s="26">
        <f>+'㈱塩釜'!O88+'機船'!O88</f>
        <v>27.186799999999998</v>
      </c>
      <c r="P88" s="8">
        <f t="shared" si="1"/>
        <v>356.5784</v>
      </c>
    </row>
    <row r="89" spans="1:16" ht="19.5" customHeight="1">
      <c r="A89" s="40"/>
      <c r="B89" s="381"/>
      <c r="C89" s="48" t="s">
        <v>18</v>
      </c>
      <c r="D89" s="25">
        <f>+'㈱塩釜'!D89+'機船'!D89</f>
        <v>12061.865077222017</v>
      </c>
      <c r="E89" s="25">
        <f>+'㈱塩釜'!E89+'機船'!E89</f>
        <v>5141.77256989757</v>
      </c>
      <c r="F89" s="25">
        <f>+'㈱塩釜'!F89+'機船'!F89</f>
        <v>6946.376276413832</v>
      </c>
      <c r="G89" s="25">
        <f>+'㈱塩釜'!G89+'機船'!G89</f>
        <v>10630.230655394535</v>
      </c>
      <c r="H89" s="25">
        <f>+'㈱塩釜'!H89+'機船'!H89</f>
        <v>22356.661176106463</v>
      </c>
      <c r="I89" s="25">
        <f>+'㈱塩釜'!I89+'機船'!I89</f>
        <v>37983.624108493575</v>
      </c>
      <c r="J89" s="25">
        <f>+'㈱塩釜'!J89+'機船'!J89</f>
        <v>40600.44048366956</v>
      </c>
      <c r="K89" s="25">
        <f>+'㈱塩釜'!K89+'機船'!K89</f>
        <v>34674.81282965216</v>
      </c>
      <c r="L89" s="25">
        <f>+'㈱塩釜'!L89+'機船'!L89</f>
        <v>27206.571712031953</v>
      </c>
      <c r="M89" s="25">
        <f>+'㈱塩釜'!M89+'機船'!M89</f>
        <v>22913.496496913755</v>
      </c>
      <c r="N89" s="25">
        <f>+'㈱塩釜'!N89+'機船'!N89</f>
        <v>12502.357826125266</v>
      </c>
      <c r="O89" s="25">
        <f>+'㈱塩釜'!O89+'機船'!O89</f>
        <v>26206.525073715533</v>
      </c>
      <c r="P89" s="9">
        <f t="shared" si="1"/>
        <v>259224.73428563622</v>
      </c>
    </row>
    <row r="90" spans="1:16" ht="19.5" customHeight="1">
      <c r="A90" s="376" t="s">
        <v>184</v>
      </c>
      <c r="B90" s="377"/>
      <c r="C90" s="54" t="s">
        <v>16</v>
      </c>
      <c r="D90" s="26">
        <f>+'㈱塩釜'!D90+'機船'!D90</f>
        <v>0.8982</v>
      </c>
      <c r="E90" s="26">
        <f>+'㈱塩釜'!E90+'機船'!E90</f>
        <v>0.3216</v>
      </c>
      <c r="F90" s="26">
        <f>+'㈱塩釜'!F90+'機船'!F90</f>
        <v>0.1747</v>
      </c>
      <c r="G90" s="26">
        <f>+'㈱塩釜'!G90+'機船'!G90</f>
        <v>0.4908</v>
      </c>
      <c r="H90" s="26">
        <f>+'㈱塩釜'!H90+'機船'!H90</f>
        <v>1.2492</v>
      </c>
      <c r="I90" s="26">
        <f>+'㈱塩釜'!I90+'機船'!I90</f>
        <v>2.2963</v>
      </c>
      <c r="J90" s="26">
        <f>+'㈱塩釜'!J90+'機船'!J90</f>
        <v>4.1625</v>
      </c>
      <c r="K90" s="26">
        <f>+'㈱塩釜'!K90+'機船'!K90</f>
        <v>2.4171</v>
      </c>
      <c r="L90" s="26">
        <f>+'㈱塩釜'!L90+'機船'!L90</f>
        <v>2.2297</v>
      </c>
      <c r="M90" s="26">
        <f>+'㈱塩釜'!M90+'機船'!M90</f>
        <v>2.0867</v>
      </c>
      <c r="N90" s="26">
        <f>+'㈱塩釜'!N90+'機船'!N90</f>
        <v>3.4055</v>
      </c>
      <c r="O90" s="26">
        <f>+'㈱塩釜'!O90+'機船'!O90</f>
        <v>1.0977000000000001</v>
      </c>
      <c r="P90" s="8">
        <f t="shared" si="1"/>
        <v>20.83</v>
      </c>
    </row>
    <row r="91" spans="1:16" ht="19.5" customHeight="1">
      <c r="A91" s="378"/>
      <c r="B91" s="379"/>
      <c r="C91" s="48" t="s">
        <v>18</v>
      </c>
      <c r="D91" s="25">
        <f>+'㈱塩釜'!D91+'機船'!D91</f>
        <v>1118.9904866266907</v>
      </c>
      <c r="E91" s="25">
        <f>+'㈱塩釜'!E91+'機船'!E91</f>
        <v>457.3176593802659</v>
      </c>
      <c r="F91" s="25">
        <f>+'㈱塩釜'!F91+'機船'!F91</f>
        <v>247.41700137277593</v>
      </c>
      <c r="G91" s="25">
        <f>+'㈱塩釜'!G91+'機船'!G91</f>
        <v>830.7123971998526</v>
      </c>
      <c r="H91" s="25">
        <f>+'㈱塩釜'!H91+'機船'!H91</f>
        <v>2006.7660071636546</v>
      </c>
      <c r="I91" s="25">
        <f>+'㈱塩釜'!I91+'機船'!I91</f>
        <v>2691.0564181012414</v>
      </c>
      <c r="J91" s="25">
        <f>+'㈱塩釜'!J91+'機船'!J91</f>
        <v>4423.99379683792</v>
      </c>
      <c r="K91" s="25">
        <f>+'㈱塩釜'!K91+'機船'!K91</f>
        <v>2643.8259982586756</v>
      </c>
      <c r="L91" s="25">
        <f>+'㈱塩釜'!L91+'機船'!L91</f>
        <v>2186.9571924416505</v>
      </c>
      <c r="M91" s="25">
        <f>+'㈱塩釜'!M91+'機船'!M91</f>
        <v>2191.501998160352</v>
      </c>
      <c r="N91" s="25">
        <f>+'㈱塩釜'!N91+'機船'!N91</f>
        <v>3183.777612882736</v>
      </c>
      <c r="O91" s="25">
        <f>+'㈱塩釜'!O91+'機船'!O91</f>
        <v>1246.0117908617553</v>
      </c>
      <c r="P91" s="9">
        <f t="shared" si="1"/>
        <v>23228.328359287567</v>
      </c>
    </row>
    <row r="92" spans="1:16" ht="19.5" customHeight="1">
      <c r="A92" s="376" t="s">
        <v>185</v>
      </c>
      <c r="B92" s="377"/>
      <c r="C92" s="54" t="s">
        <v>16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8"/>
    </row>
    <row r="93" spans="1:16" ht="19.5" customHeight="1">
      <c r="A93" s="378"/>
      <c r="B93" s="379"/>
      <c r="C93" s="48" t="s">
        <v>18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9"/>
    </row>
    <row r="94" spans="1:16" ht="19.5" customHeight="1">
      <c r="A94" s="376" t="s">
        <v>186</v>
      </c>
      <c r="B94" s="377"/>
      <c r="C94" s="54" t="s">
        <v>16</v>
      </c>
      <c r="D94" s="26">
        <f>+'㈱塩釜'!D94+'機船'!D94</f>
        <v>0.0521</v>
      </c>
      <c r="E94" s="26">
        <f>+'㈱塩釜'!E94+'機船'!E94</f>
        <v>0.0058</v>
      </c>
      <c r="F94" s="26">
        <f>+'㈱塩釜'!F94+'機船'!F94</f>
        <v>0.2239</v>
      </c>
      <c r="G94" s="26">
        <f>+'㈱塩釜'!G94+'機船'!G94</f>
        <v>0.3467</v>
      </c>
      <c r="H94" s="26">
        <f>+'㈱塩釜'!H94+'機船'!H94</f>
        <v>0.0213</v>
      </c>
      <c r="I94" s="26">
        <f>+'㈱塩釜'!I94+'機船'!I94</f>
        <v>0.253</v>
      </c>
      <c r="J94" s="26"/>
      <c r="K94" s="26"/>
      <c r="L94" s="26">
        <f>+'㈱塩釜'!L94+'機船'!L94</f>
        <v>0.2727</v>
      </c>
      <c r="M94" s="26"/>
      <c r="N94" s="26">
        <f>+'㈱塩釜'!N94+'機船'!N94</f>
        <v>0.043</v>
      </c>
      <c r="O94" s="26"/>
      <c r="P94" s="8">
        <f t="shared" si="1"/>
        <v>1.2185</v>
      </c>
    </row>
    <row r="95" spans="1:16" ht="19.5" customHeight="1">
      <c r="A95" s="378"/>
      <c r="B95" s="379"/>
      <c r="C95" s="48" t="s">
        <v>18</v>
      </c>
      <c r="D95" s="25">
        <f>+'㈱塩釜'!D95+'機船'!D95</f>
        <v>147.662</v>
      </c>
      <c r="E95" s="25">
        <f>+'㈱塩釜'!E95+'機船'!E95</f>
        <v>19.782</v>
      </c>
      <c r="F95" s="25">
        <f>+'㈱塩釜'!F95+'機船'!F95</f>
        <v>153.993</v>
      </c>
      <c r="G95" s="25">
        <f>+'㈱塩釜'!G95+'機船'!G95</f>
        <v>222.718</v>
      </c>
      <c r="H95" s="25">
        <f>+'㈱塩釜'!H95+'機船'!H95</f>
        <v>55.361</v>
      </c>
      <c r="I95" s="25">
        <f>+'㈱塩釜'!I95+'機船'!I95</f>
        <v>76.334</v>
      </c>
      <c r="J95" s="25"/>
      <c r="K95" s="25"/>
      <c r="L95" s="25">
        <f>+'㈱塩釜'!L95+'機船'!L95</f>
        <v>284.517</v>
      </c>
      <c r="M95" s="25"/>
      <c r="N95" s="25">
        <f>+'㈱塩釜'!N95+'機船'!N95</f>
        <v>12.096</v>
      </c>
      <c r="O95" s="25"/>
      <c r="P95" s="9">
        <f t="shared" si="1"/>
        <v>972.463</v>
      </c>
    </row>
    <row r="96" spans="1:16" ht="19.5" customHeight="1">
      <c r="A96" s="376" t="s">
        <v>213</v>
      </c>
      <c r="B96" s="377"/>
      <c r="C96" s="54" t="s">
        <v>16</v>
      </c>
      <c r="D96" s="26">
        <f>+'㈱塩釜'!D96+'機船'!D96</f>
        <v>1.1305</v>
      </c>
      <c r="E96" s="26">
        <f>+'㈱塩釜'!E96+'機船'!E96</f>
        <v>1.7449999999999999</v>
      </c>
      <c r="F96" s="26">
        <f>+'㈱塩釜'!F96+'機船'!F96</f>
        <v>1.1021</v>
      </c>
      <c r="G96" s="26">
        <f>+'㈱塩釜'!G96+'機船'!G96</f>
        <v>1.3954</v>
      </c>
      <c r="H96" s="26">
        <f>+'㈱塩釜'!H96+'機船'!H96</f>
        <v>1.3242</v>
      </c>
      <c r="I96" s="26">
        <f>+'㈱塩釜'!I96+'機船'!I96</f>
        <v>1.1199000000000001</v>
      </c>
      <c r="J96" s="26">
        <f>+'㈱塩釜'!J96+'機船'!J96</f>
        <v>0.508</v>
      </c>
      <c r="K96" s="26">
        <f>+'㈱塩釜'!K96+'機船'!K96</f>
        <v>0.472</v>
      </c>
      <c r="L96" s="26">
        <f>+'㈱塩釜'!L96+'機船'!L96</f>
        <v>2.3381</v>
      </c>
      <c r="M96" s="26">
        <f>+'㈱塩釜'!M96+'機船'!M96</f>
        <v>0.8105</v>
      </c>
      <c r="N96" s="26">
        <f>+'㈱塩釜'!N96+'機船'!N96</f>
        <v>0.5449</v>
      </c>
      <c r="O96" s="26">
        <f>+'㈱塩釜'!O96+'機船'!O96</f>
        <v>1.1440000000000001</v>
      </c>
      <c r="P96" s="8">
        <f t="shared" si="1"/>
        <v>13.634599999999997</v>
      </c>
    </row>
    <row r="97" spans="1:16" ht="19.5" customHeight="1">
      <c r="A97" s="378"/>
      <c r="B97" s="379"/>
      <c r="C97" s="48" t="s">
        <v>18</v>
      </c>
      <c r="D97" s="25">
        <f>+'㈱塩釜'!D97+'機船'!D97</f>
        <v>1886.375</v>
      </c>
      <c r="E97" s="25">
        <f>+'㈱塩釜'!E97+'機船'!E97</f>
        <v>3112.8633748441503</v>
      </c>
      <c r="F97" s="25">
        <f>+'㈱塩釜'!F97+'機船'!F97</f>
        <v>1933.492060207976</v>
      </c>
      <c r="G97" s="25">
        <f>+'㈱塩釜'!G97+'機船'!G97</f>
        <v>2341.093993844496</v>
      </c>
      <c r="H97" s="25">
        <f>+'㈱塩釜'!H97+'機船'!H97</f>
        <v>2270.397</v>
      </c>
      <c r="I97" s="25">
        <f>+'㈱塩釜'!I97+'機船'!I97</f>
        <v>1900.3360146525993</v>
      </c>
      <c r="J97" s="25">
        <f>+'㈱塩釜'!J97+'機船'!J97</f>
        <v>626.5079996592153</v>
      </c>
      <c r="K97" s="25">
        <f>+'㈱塩釜'!K97+'機船'!K97</f>
        <v>532.116</v>
      </c>
      <c r="L97" s="25">
        <f>+'㈱塩釜'!L97+'機船'!L97</f>
        <v>4066.915998316626</v>
      </c>
      <c r="M97" s="25">
        <f>+'㈱塩釜'!M97+'機船'!M97</f>
        <v>1138.9309986680757</v>
      </c>
      <c r="N97" s="25">
        <f>+'㈱塩釜'!N97+'機船'!N97</f>
        <v>619.79</v>
      </c>
      <c r="O97" s="25">
        <f>+'㈱塩釜'!O97+'機船'!O97</f>
        <v>1654.3439966930719</v>
      </c>
      <c r="P97" s="9">
        <f t="shared" si="1"/>
        <v>22083.162436886207</v>
      </c>
    </row>
    <row r="98" spans="1:16" ht="19.5" customHeight="1">
      <c r="A98" s="376" t="s">
        <v>165</v>
      </c>
      <c r="B98" s="377"/>
      <c r="C98" s="54" t="s">
        <v>16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8"/>
    </row>
    <row r="99" spans="1:16" ht="19.5" customHeight="1">
      <c r="A99" s="378"/>
      <c r="B99" s="379"/>
      <c r="C99" s="48" t="s">
        <v>18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9"/>
    </row>
    <row r="100" spans="1:16" ht="19.5" customHeight="1">
      <c r="A100" s="376" t="s">
        <v>166</v>
      </c>
      <c r="B100" s="377"/>
      <c r="C100" s="54" t="s">
        <v>16</v>
      </c>
      <c r="D100" s="26">
        <f>+'㈱塩釜'!D100+'機船'!D100</f>
        <v>0.042</v>
      </c>
      <c r="E100" s="26">
        <f>+'㈱塩釜'!E100+'機船'!E100</f>
        <v>0.0082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8">
        <f t="shared" si="1"/>
        <v>0.0502</v>
      </c>
    </row>
    <row r="101" spans="1:16" ht="19.5" customHeight="1">
      <c r="A101" s="378"/>
      <c r="B101" s="379"/>
      <c r="C101" s="48" t="s">
        <v>18</v>
      </c>
      <c r="D101" s="25">
        <f>+'㈱塩釜'!D101+'機船'!D101</f>
        <v>19.845004459023446</v>
      </c>
      <c r="E101" s="25">
        <f>+'㈱塩釜'!E101+'機船'!E101</f>
        <v>3.4440014213743497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9">
        <f t="shared" si="1"/>
        <v>23.289005880397795</v>
      </c>
    </row>
    <row r="102" spans="1:16" ht="19.5" customHeight="1">
      <c r="A102" s="376" t="s">
        <v>64</v>
      </c>
      <c r="B102" s="377"/>
      <c r="C102" s="54" t="s">
        <v>16</v>
      </c>
      <c r="D102" s="26">
        <f>+'㈱塩釜'!D102+'機船'!D102</f>
        <v>930.24781</v>
      </c>
      <c r="E102" s="26">
        <f>+'㈱塩釜'!E102+'機船'!E102</f>
        <v>17.2561</v>
      </c>
      <c r="F102" s="26">
        <f>+'㈱塩釜'!F102+'機船'!F102</f>
        <v>330.4586</v>
      </c>
      <c r="G102" s="26">
        <f>+'㈱塩釜'!G102+'機船'!G102</f>
        <v>474.7715</v>
      </c>
      <c r="H102" s="26">
        <f>+'㈱塩釜'!H102+'機船'!H102</f>
        <v>491.28665</v>
      </c>
      <c r="I102" s="26">
        <f>+'㈱塩釜'!I102+'機船'!I102</f>
        <v>1361.2703</v>
      </c>
      <c r="J102" s="26">
        <f>+'㈱塩釜'!J102+'機船'!J102</f>
        <v>358.8664</v>
      </c>
      <c r="K102" s="26">
        <f>+'㈱塩釜'!K102+'機船'!K102</f>
        <v>976.3209</v>
      </c>
      <c r="L102" s="26">
        <f>+'㈱塩釜'!L102+'機船'!L102</f>
        <v>930.1289</v>
      </c>
      <c r="M102" s="26">
        <f>+'㈱塩釜'!M102+'機船'!M102</f>
        <v>657.7144999999999</v>
      </c>
      <c r="N102" s="26">
        <f>+'㈱塩釜'!N102+'機船'!N102</f>
        <v>1049.3748</v>
      </c>
      <c r="O102" s="26">
        <f>+'㈱塩釜'!O102+'機船'!O102</f>
        <v>8.52462</v>
      </c>
      <c r="P102" s="8">
        <f t="shared" si="1"/>
        <v>7586.221079999999</v>
      </c>
    </row>
    <row r="103" spans="1:16" ht="19.5" customHeight="1">
      <c r="A103" s="378"/>
      <c r="B103" s="379"/>
      <c r="C103" s="48" t="s">
        <v>18</v>
      </c>
      <c r="D103" s="25">
        <f>+'㈱塩釜'!D103+'機船'!D103</f>
        <v>365577.10543342447</v>
      </c>
      <c r="E103" s="25">
        <f>+'㈱塩釜'!E103+'機船'!E103</f>
        <v>12571.11087093178</v>
      </c>
      <c r="F103" s="25">
        <f>+'㈱塩釜'!F103+'機船'!F103</f>
        <v>103862.58722818596</v>
      </c>
      <c r="G103" s="25">
        <f>+'㈱塩釜'!G103+'機船'!G103</f>
        <v>163950.1769141743</v>
      </c>
      <c r="H103" s="25">
        <f>+'㈱塩釜'!H103+'機船'!H103</f>
        <v>177918.08051090362</v>
      </c>
      <c r="I103" s="25">
        <f>+'㈱塩釜'!I103+'機船'!I103</f>
        <v>580252.6882875793</v>
      </c>
      <c r="J103" s="25">
        <f>+'㈱塩釜'!J103+'機船'!J103</f>
        <v>175144.27128903157</v>
      </c>
      <c r="K103" s="25">
        <f>+'㈱塩釜'!K103+'機船'!K103</f>
        <v>191568.71466672976</v>
      </c>
      <c r="L103" s="25">
        <f>+'㈱塩釜'!L103+'機船'!L103</f>
        <v>235527.7880623945</v>
      </c>
      <c r="M103" s="25">
        <f>+'㈱塩釜'!M103+'機船'!M103</f>
        <v>167765.2023143223</v>
      </c>
      <c r="N103" s="25">
        <f>+'㈱塩釜'!N103+'機船'!N103</f>
        <v>270552.69753782556</v>
      </c>
      <c r="O103" s="25">
        <f>+'㈱塩釜'!O103+'機船'!O103</f>
        <v>20902.485565665324</v>
      </c>
      <c r="P103" s="9">
        <f t="shared" si="1"/>
        <v>2465592.908681168</v>
      </c>
    </row>
    <row r="104" spans="1:16" ht="19.5" customHeight="1">
      <c r="A104" s="384" t="s">
        <v>65</v>
      </c>
      <c r="B104" s="385"/>
      <c r="C104" s="54" t="s">
        <v>16</v>
      </c>
      <c r="D104" s="26">
        <f>+'㈱塩釜'!D104+'機船'!D104</f>
        <v>1396.53781</v>
      </c>
      <c r="E104" s="26">
        <f>+'㈱塩釜'!E104+'機船'!E104</f>
        <v>335.3627</v>
      </c>
      <c r="F104" s="26">
        <f>+'㈱塩釜'!F104+'機船'!F104</f>
        <v>560.0773999999999</v>
      </c>
      <c r="G104" s="26">
        <f>+'㈱塩釜'!G104+'機船'!G104</f>
        <v>846.9818</v>
      </c>
      <c r="H104" s="26">
        <f>+'㈱塩釜'!H104+'機船'!H104</f>
        <v>1046.99305</v>
      </c>
      <c r="I104" s="26">
        <f>+'㈱塩釜'!I104+'機船'!I104</f>
        <v>1975.9977</v>
      </c>
      <c r="J104" s="26">
        <f>+'㈱塩釜'!J104+'機船'!J104</f>
        <v>1505.0443</v>
      </c>
      <c r="K104" s="26">
        <f>+'㈱塩釜'!K104+'機船'!K104</f>
        <v>1716.5376999999999</v>
      </c>
      <c r="L104" s="26">
        <f>+'㈱塩釜'!L104+'機船'!L104</f>
        <v>1789.1421</v>
      </c>
      <c r="M104" s="26">
        <f>+'㈱塩釜'!M104+'機船'!M104</f>
        <v>1957.4227999999998</v>
      </c>
      <c r="N104" s="26">
        <f>+'㈱塩釜'!N104+'機船'!N104</f>
        <v>2265.8353</v>
      </c>
      <c r="O104" s="26">
        <f>+'㈱塩釜'!O104+'機船'!O104</f>
        <v>988.8047199999999</v>
      </c>
      <c r="P104" s="8">
        <f t="shared" si="1"/>
        <v>16384.73738</v>
      </c>
    </row>
    <row r="105" spans="1:16" ht="19.5" customHeight="1">
      <c r="A105" s="386"/>
      <c r="B105" s="387"/>
      <c r="C105" s="48" t="s">
        <v>18</v>
      </c>
      <c r="D105" s="25">
        <f>+'㈱塩釜'!D105+'機船'!D105</f>
        <v>655611.595346605</v>
      </c>
      <c r="E105" s="25">
        <f>+'㈱塩釜'!E105+'機船'!E105</f>
        <v>245821.2320954879</v>
      </c>
      <c r="F105" s="25">
        <f>+'㈱塩釜'!F105+'機船'!F105</f>
        <v>312112.23978546803</v>
      </c>
      <c r="G105" s="25">
        <f>+'㈱塩釜'!G105+'機船'!G105</f>
        <v>432786.3517531832</v>
      </c>
      <c r="H105" s="25">
        <f>+'㈱塩釜'!H105+'機船'!H105</f>
        <v>466494.5850732963</v>
      </c>
      <c r="I105" s="25">
        <f>+'㈱塩釜'!I105+'機船'!I105</f>
        <v>903342.484262536</v>
      </c>
      <c r="J105" s="25">
        <f>+'㈱塩釜'!J105+'機船'!J105</f>
        <v>600354.6629241799</v>
      </c>
      <c r="K105" s="25">
        <f>+'㈱塩釜'!K105+'機船'!K105</f>
        <v>598900.2752814277</v>
      </c>
      <c r="L105" s="25">
        <f>+'㈱塩釜'!L105+'機船'!L105</f>
        <v>986212.7382207976</v>
      </c>
      <c r="M105" s="25">
        <f>+'㈱塩釜'!M105+'機船'!M105</f>
        <v>1228482.400253636</v>
      </c>
      <c r="N105" s="25">
        <f>+'㈱塩釜'!N105+'機船'!N105</f>
        <v>962259.092493331</v>
      </c>
      <c r="O105" s="25">
        <f>+'㈱塩釜'!O105+'機船'!O105</f>
        <v>610209.7327816233</v>
      </c>
      <c r="P105" s="9">
        <f t="shared" si="1"/>
        <v>8002587.390271572</v>
      </c>
    </row>
    <row r="106" spans="1:16" ht="19.5" customHeight="1">
      <c r="A106" s="44" t="s">
        <v>0</v>
      </c>
      <c r="B106" s="382" t="s">
        <v>167</v>
      </c>
      <c r="C106" s="54" t="s">
        <v>16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8"/>
    </row>
    <row r="107" spans="1:16" ht="19.5" customHeight="1">
      <c r="A107" s="44" t="s">
        <v>0</v>
      </c>
      <c r="B107" s="383"/>
      <c r="C107" s="48" t="s">
        <v>18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9"/>
    </row>
    <row r="108" spans="1:16" ht="19.5" customHeight="1">
      <c r="A108" s="45" t="s">
        <v>66</v>
      </c>
      <c r="B108" s="382" t="s">
        <v>188</v>
      </c>
      <c r="C108" s="54" t="s">
        <v>16</v>
      </c>
      <c r="D108" s="26">
        <f>+'㈱塩釜'!D108+'機船'!D108</f>
        <v>1.7799</v>
      </c>
      <c r="E108" s="26">
        <f>+'㈱塩釜'!E108+'機船'!E108</f>
        <v>1.2682</v>
      </c>
      <c r="F108" s="26">
        <f>+'㈱塩釜'!F108+'機船'!F108</f>
        <v>1.0117</v>
      </c>
      <c r="G108" s="26">
        <f>+'㈱塩釜'!G108+'機船'!G108</f>
        <v>1.1456</v>
      </c>
      <c r="H108" s="26">
        <f>+'㈱塩釜'!H108+'機船'!H108</f>
        <v>2.6619</v>
      </c>
      <c r="I108" s="26">
        <f>+'㈱塩釜'!I108+'機船'!I108</f>
        <v>3.6202</v>
      </c>
      <c r="J108" s="26">
        <f>+'㈱塩釜'!J108+'機船'!J108</f>
        <v>1.3220999999999998</v>
      </c>
      <c r="K108" s="26">
        <f>+'㈱塩釜'!K108+'機船'!K108</f>
        <v>0.3328</v>
      </c>
      <c r="L108" s="26">
        <f>+'㈱塩釜'!L108+'機船'!L108</f>
        <v>1.8715000000000002</v>
      </c>
      <c r="M108" s="26">
        <f>+'㈱塩釜'!M108+'機船'!M108</f>
        <v>2.494</v>
      </c>
      <c r="N108" s="26">
        <f>+'㈱塩釜'!N108+'機船'!N108</f>
        <v>1.6676000000000002</v>
      </c>
      <c r="O108" s="26">
        <f>+'㈱塩釜'!O108+'機船'!O108</f>
        <v>3.6224000000000003</v>
      </c>
      <c r="P108" s="8">
        <f aca="true" t="shared" si="2" ref="P108:P134">SUM(D108:O108)</f>
        <v>22.7979</v>
      </c>
    </row>
    <row r="109" spans="1:16" ht="19.5" customHeight="1">
      <c r="A109" s="45" t="s">
        <v>0</v>
      </c>
      <c r="B109" s="383"/>
      <c r="C109" s="48" t="s">
        <v>18</v>
      </c>
      <c r="D109" s="25">
        <f>+'㈱塩釜'!D109+'機船'!D109</f>
        <v>1024.8975823714195</v>
      </c>
      <c r="E109" s="25">
        <f>+'㈱塩釜'!E109+'機船'!E109</f>
        <v>772.6332169849284</v>
      </c>
      <c r="F109" s="25">
        <f>+'㈱塩釜'!F109+'機船'!F109</f>
        <v>799.1045776299671</v>
      </c>
      <c r="G109" s="25">
        <f>+'㈱塩釜'!G109+'機船'!G109</f>
        <v>1015.0535858398938</v>
      </c>
      <c r="H109" s="25">
        <f>+'㈱塩釜'!H109+'機船'!H109</f>
        <v>1950.0582122146752</v>
      </c>
      <c r="I109" s="25">
        <f>+'㈱塩釜'!I109+'機船'!I109</f>
        <v>1934.2575532463206</v>
      </c>
      <c r="J109" s="25">
        <f>+'㈱塩釜'!J109+'機船'!J109</f>
        <v>566.9071985007231</v>
      </c>
      <c r="K109" s="25">
        <f>+'㈱塩釜'!K109+'機船'!K109</f>
        <v>314.97659731614056</v>
      </c>
      <c r="L109" s="25">
        <f>+'㈱塩釜'!L109+'機船'!L109</f>
        <v>928.0537093191846</v>
      </c>
      <c r="M109" s="25">
        <f>+'㈱塩釜'!M109+'機船'!M109</f>
        <v>1288.2324337460861</v>
      </c>
      <c r="N109" s="25">
        <f>+'㈱塩釜'!N109+'機船'!N109</f>
        <v>1131.9700092249172</v>
      </c>
      <c r="O109" s="25">
        <f>+'㈱塩釜'!O109+'機船'!O109</f>
        <v>2600.949941180954</v>
      </c>
      <c r="P109" s="9">
        <f t="shared" si="2"/>
        <v>14327.09461757521</v>
      </c>
    </row>
    <row r="110" spans="1:16" ht="19.5" customHeight="1">
      <c r="A110" s="45" t="s">
        <v>0</v>
      </c>
      <c r="B110" s="382" t="s">
        <v>169</v>
      </c>
      <c r="C110" s="54" t="s">
        <v>16</v>
      </c>
      <c r="D110" s="26">
        <f>+'㈱塩釜'!D110+'機船'!D110</f>
        <v>3.8162000000000003</v>
      </c>
      <c r="E110" s="26">
        <f>+'㈱塩釜'!E110+'機船'!E110</f>
        <v>2.9455</v>
      </c>
      <c r="F110" s="26">
        <f>+'㈱塩釜'!F110+'機船'!F110</f>
        <v>1.9998</v>
      </c>
      <c r="G110" s="26">
        <f>+'㈱塩釜'!G110+'機船'!G110</f>
        <v>1.4384</v>
      </c>
      <c r="H110" s="26">
        <f>+'㈱塩釜'!H110+'機船'!H110</f>
        <v>0.8825999999999999</v>
      </c>
      <c r="I110" s="26">
        <f>+'㈱塩釜'!I110+'機船'!I110</f>
        <v>1.7025000000000001</v>
      </c>
      <c r="J110" s="26">
        <f>+'㈱塩釜'!J110+'機船'!J110</f>
        <v>1.9425999999999999</v>
      </c>
      <c r="K110" s="26">
        <f>+'㈱塩釜'!K110+'機船'!K110</f>
        <v>12.927</v>
      </c>
      <c r="L110" s="26">
        <f>+'㈱塩釜'!L110+'機船'!L110</f>
        <v>133.6678</v>
      </c>
      <c r="M110" s="26">
        <f>+'㈱塩釜'!M110+'機船'!M110</f>
        <v>310.6098</v>
      </c>
      <c r="N110" s="26">
        <f>+'㈱塩釜'!N110+'機船'!N110</f>
        <v>701.369</v>
      </c>
      <c r="O110" s="26">
        <f>+'㈱塩釜'!O110+'機船'!O110</f>
        <v>218.1016</v>
      </c>
      <c r="P110" s="8">
        <f t="shared" si="2"/>
        <v>1391.4028</v>
      </c>
    </row>
    <row r="111" spans="1:16" ht="19.5" customHeight="1">
      <c r="A111" s="45"/>
      <c r="B111" s="383"/>
      <c r="C111" s="48" t="s">
        <v>18</v>
      </c>
      <c r="D111" s="25">
        <f>+'㈱塩釜'!D111+'機船'!D111</f>
        <v>2115.3853685807244</v>
      </c>
      <c r="E111" s="25">
        <f>+'㈱塩釜'!E111+'機船'!E111</f>
        <v>1678.112797993237</v>
      </c>
      <c r="F111" s="25">
        <f>+'㈱塩釜'!F111+'機船'!F111</f>
        <v>1120.0396358236605</v>
      </c>
      <c r="G111" s="25">
        <f>+'㈱塩釜'!G111+'機船'!G111</f>
        <v>1237.895597474558</v>
      </c>
      <c r="H111" s="25">
        <f>+'㈱塩釜'!H111+'機船'!H111</f>
        <v>839.7158001493381</v>
      </c>
      <c r="I111" s="25">
        <f>+'㈱塩釜'!I111+'機船'!I111</f>
        <v>553.2514020957487</v>
      </c>
      <c r="J111" s="25">
        <f>+'㈱塩釜'!J111+'機船'!J111</f>
        <v>1036.3189998035477</v>
      </c>
      <c r="K111" s="25">
        <f>+'㈱塩釜'!K111+'機船'!K111</f>
        <v>2529.661999379656</v>
      </c>
      <c r="L111" s="25">
        <f>+'㈱塩釜'!L111+'機船'!L111</f>
        <v>30222.923752186827</v>
      </c>
      <c r="M111" s="25">
        <f>+'㈱塩釜'!M111+'機船'!M111</f>
        <v>65247.929392507365</v>
      </c>
      <c r="N111" s="25">
        <f>+'㈱塩釜'!N111+'機船'!N111</f>
        <v>148036.0752344219</v>
      </c>
      <c r="O111" s="25">
        <f>+'㈱塩釜'!O111+'機船'!O111</f>
        <v>51480.47996457954</v>
      </c>
      <c r="P111" s="9">
        <f t="shared" si="2"/>
        <v>306097.7899449961</v>
      </c>
    </row>
    <row r="112" spans="1:16" ht="19.5" customHeight="1">
      <c r="A112" s="45" t="s">
        <v>67</v>
      </c>
      <c r="B112" s="382" t="s">
        <v>189</v>
      </c>
      <c r="C112" s="54" t="s">
        <v>16</v>
      </c>
      <c r="D112" s="26">
        <f>+'㈱塩釜'!D112+'機船'!D112</f>
        <v>0.0389</v>
      </c>
      <c r="E112" s="26">
        <f>+'㈱塩釜'!E112+'機船'!E112</f>
        <v>0.0364</v>
      </c>
      <c r="F112" s="26">
        <f>+'㈱塩釜'!F112+'機船'!F112</f>
        <v>0.014599999999999998</v>
      </c>
      <c r="G112" s="26">
        <f>+'㈱塩釜'!G112+'機船'!G112</f>
        <v>0.5404</v>
      </c>
      <c r="H112" s="26">
        <f>+'㈱塩釜'!H112+'機船'!H112</f>
        <v>0.3632</v>
      </c>
      <c r="I112" s="26">
        <f>+'㈱塩釜'!I112+'機船'!I112</f>
        <v>0.2062</v>
      </c>
      <c r="J112" s="26">
        <f>+'㈱塩釜'!J112+'機船'!J112</f>
        <v>0.184</v>
      </c>
      <c r="K112" s="26">
        <f>+'㈱塩釜'!K112+'機船'!K112</f>
        <v>0.0301</v>
      </c>
      <c r="L112" s="26">
        <f>+'㈱塩釜'!L112+'機船'!L112</f>
        <v>0.0996</v>
      </c>
      <c r="M112" s="26">
        <f>+'㈱塩釜'!M112+'機船'!M112</f>
        <v>0.1231</v>
      </c>
      <c r="N112" s="26">
        <f>+'㈱塩釜'!N112+'機船'!N112</f>
        <v>0.1242</v>
      </c>
      <c r="O112" s="26">
        <f>+'㈱塩釜'!O112+'機船'!O112</f>
        <v>0.12279999999999999</v>
      </c>
      <c r="P112" s="8">
        <f t="shared" si="2"/>
        <v>1.8835</v>
      </c>
    </row>
    <row r="113" spans="1:16" ht="19.5" customHeight="1">
      <c r="A113" s="45"/>
      <c r="B113" s="383"/>
      <c r="C113" s="48" t="s">
        <v>18</v>
      </c>
      <c r="D113" s="25">
        <f>+'㈱塩釜'!D113+'機船'!D113</f>
        <v>292.437</v>
      </c>
      <c r="E113" s="25">
        <f>+'㈱塩釜'!E113+'機船'!E113</f>
        <v>285.139</v>
      </c>
      <c r="F113" s="25">
        <f>+'㈱塩釜'!F113+'機船'!F113</f>
        <v>48.8250009197258</v>
      </c>
      <c r="G113" s="25">
        <f>+'㈱塩釜'!G113+'機船'!G113</f>
        <v>1387.8543986431434</v>
      </c>
      <c r="H113" s="25">
        <f>+'㈱塩釜'!H113+'機船'!H113</f>
        <v>798.9950004259927</v>
      </c>
      <c r="I113" s="25">
        <f>+'㈱塩釜'!I113+'機船'!I113</f>
        <v>551.351</v>
      </c>
      <c r="J113" s="25">
        <f>+'㈱塩釜'!J113+'機船'!J113</f>
        <v>401.955</v>
      </c>
      <c r="K113" s="25">
        <f>+'㈱塩釜'!K113+'機船'!K113</f>
        <v>45.996</v>
      </c>
      <c r="L113" s="25">
        <f>+'㈱塩釜'!L113+'機船'!L113</f>
        <v>468.028</v>
      </c>
      <c r="M113" s="25">
        <f>+'㈱塩釜'!M113+'機船'!M113</f>
        <v>60.30679995239234</v>
      </c>
      <c r="N113" s="25">
        <f>+'㈱塩釜'!N113+'機船'!N113</f>
        <v>39.59200004239311</v>
      </c>
      <c r="O113" s="25">
        <f>+'㈱塩釜'!O113+'機船'!O113</f>
        <v>226.46499907406013</v>
      </c>
      <c r="P113" s="9">
        <f t="shared" si="2"/>
        <v>4606.944199057708</v>
      </c>
    </row>
    <row r="114" spans="1:16" ht="19.5" customHeight="1">
      <c r="A114" s="45"/>
      <c r="B114" s="382" t="s">
        <v>171</v>
      </c>
      <c r="C114" s="54" t="s">
        <v>16</v>
      </c>
      <c r="D114" s="26">
        <f>+'㈱塩釜'!D114+'機船'!D114</f>
        <v>0.1004</v>
      </c>
      <c r="E114" s="26">
        <f>+'㈱塩釜'!E114+'機船'!E114</f>
        <v>0.5253</v>
      </c>
      <c r="F114" s="26">
        <f>+'㈱塩釜'!F114+'機船'!F114</f>
        <v>0.4158</v>
      </c>
      <c r="G114" s="26">
        <f>+'㈱塩釜'!G114+'機船'!G114</f>
        <v>0.7741</v>
      </c>
      <c r="H114" s="26">
        <f>+'㈱塩釜'!H114+'機船'!H114</f>
        <v>2.1630000000000003</v>
      </c>
      <c r="I114" s="26">
        <f>+'㈱塩釜'!I114+'機船'!I114</f>
        <v>0.6707000000000001</v>
      </c>
      <c r="J114" s="26">
        <f>+'㈱塩釜'!J114+'機船'!J114</f>
        <v>0.7118</v>
      </c>
      <c r="K114" s="26">
        <f>+'㈱塩釜'!K114+'機船'!K114</f>
        <v>1.1958000000000002</v>
      </c>
      <c r="L114" s="26">
        <f>+'㈱塩釜'!L114+'機船'!L114</f>
        <v>2.3213</v>
      </c>
      <c r="M114" s="26">
        <f>+'㈱塩釜'!M114+'機船'!M114</f>
        <v>2.5185</v>
      </c>
      <c r="N114" s="26">
        <f>+'㈱塩釜'!N114+'機船'!N114</f>
        <v>1.1372</v>
      </c>
      <c r="O114" s="26">
        <f>+'㈱塩釜'!O114+'機船'!O114</f>
        <v>1.8796</v>
      </c>
      <c r="P114" s="8">
        <f t="shared" si="2"/>
        <v>14.413499999999999</v>
      </c>
    </row>
    <row r="115" spans="1:16" ht="19.5" customHeight="1">
      <c r="A115" s="45"/>
      <c r="B115" s="383"/>
      <c r="C115" s="48" t="s">
        <v>18</v>
      </c>
      <c r="D115" s="25">
        <f>+'㈱塩釜'!D115+'機船'!D115</f>
        <v>148.85402561225322</v>
      </c>
      <c r="E115" s="25">
        <f>+'㈱塩釜'!E115+'機船'!E115</f>
        <v>717.33926740905</v>
      </c>
      <c r="F115" s="25">
        <f>+'㈱塩釜'!F115+'機船'!F115</f>
        <v>631.15507858546</v>
      </c>
      <c r="G115" s="25">
        <f>+'㈱塩釜'!G115+'機船'!G115</f>
        <v>1082.0175919342416</v>
      </c>
      <c r="H115" s="25">
        <f>+'㈱塩釜'!H115+'機船'!H115</f>
        <v>1763.8286112893445</v>
      </c>
      <c r="I115" s="25">
        <f>+'㈱塩釜'!I115+'機船'!I115</f>
        <v>277.2580029142267</v>
      </c>
      <c r="J115" s="25">
        <f>+'㈱塩釜'!J115+'機船'!J115</f>
        <v>231.59471943728443</v>
      </c>
      <c r="K115" s="25">
        <f>+'㈱塩釜'!K115+'機船'!K115</f>
        <v>518.2199152049553</v>
      </c>
      <c r="L115" s="25">
        <f>+'㈱塩釜'!L115+'機船'!L115</f>
        <v>1220.4314366022497</v>
      </c>
      <c r="M115" s="25">
        <f>+'㈱塩釜'!M115+'機船'!M115</f>
        <v>1073.4105583211215</v>
      </c>
      <c r="N115" s="25">
        <f>+'㈱塩釜'!N115+'機船'!N115</f>
        <v>642.8496044535727</v>
      </c>
      <c r="O115" s="25">
        <f>+'㈱塩釜'!O115+'機船'!O115</f>
        <v>2198.425787432822</v>
      </c>
      <c r="P115" s="9">
        <f t="shared" si="2"/>
        <v>10505.38459919658</v>
      </c>
    </row>
    <row r="116" spans="1:16" ht="19.5" customHeight="1">
      <c r="A116" s="45" t="s">
        <v>68</v>
      </c>
      <c r="B116" s="382" t="s">
        <v>190</v>
      </c>
      <c r="C116" s="54" t="s">
        <v>16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8"/>
    </row>
    <row r="117" spans="1:16" ht="19.5" customHeight="1">
      <c r="A117" s="45"/>
      <c r="B117" s="383"/>
      <c r="C117" s="48" t="s">
        <v>18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9"/>
    </row>
    <row r="118" spans="1:16" ht="19.5" customHeight="1">
      <c r="A118" s="45"/>
      <c r="B118" s="382" t="s">
        <v>191</v>
      </c>
      <c r="C118" s="54" t="s">
        <v>16</v>
      </c>
      <c r="D118" s="26">
        <f>+'㈱塩釜'!D118+'機船'!D118</f>
        <v>0.1197</v>
      </c>
      <c r="E118" s="26"/>
      <c r="F118" s="26">
        <f>+'㈱塩釜'!F118+'機船'!F118</f>
        <v>0.07100000000000001</v>
      </c>
      <c r="G118" s="26">
        <f>+'㈱塩釜'!G118+'機船'!G118</f>
        <v>0.022199999999999998</v>
      </c>
      <c r="H118" s="26">
        <f>+'㈱塩釜'!H118+'機船'!H118</f>
        <v>0.032799999999999996</v>
      </c>
      <c r="I118" s="26">
        <f>+'㈱塩釜'!I118+'機船'!I118</f>
        <v>0.0114</v>
      </c>
      <c r="J118" s="26">
        <f>+'㈱塩釜'!J118+'機船'!J118</f>
        <v>0.010499999999999999</v>
      </c>
      <c r="K118" s="26">
        <f>+'㈱塩釜'!K118+'機船'!K118</f>
        <v>0.044700000000000004</v>
      </c>
      <c r="L118" s="26">
        <f>+'㈱塩釜'!L118+'機船'!L118</f>
        <v>0.011</v>
      </c>
      <c r="M118" s="26">
        <f>+'㈱塩釜'!M118+'機船'!M118</f>
        <v>0.0105</v>
      </c>
      <c r="N118" s="26">
        <f>+'㈱塩釜'!N118+'機船'!N118</f>
        <v>0.067</v>
      </c>
      <c r="O118" s="26">
        <f>+'㈱塩釜'!O118+'機船'!O118</f>
        <v>0.1513</v>
      </c>
      <c r="P118" s="8">
        <f t="shared" si="2"/>
        <v>0.5521</v>
      </c>
    </row>
    <row r="119" spans="1:16" ht="19.5" customHeight="1">
      <c r="A119" s="45"/>
      <c r="B119" s="383"/>
      <c r="C119" s="48" t="s">
        <v>18</v>
      </c>
      <c r="D119" s="25">
        <f>+'㈱塩釜'!D119+'機船'!D119</f>
        <v>105.39951029350229</v>
      </c>
      <c r="E119" s="25"/>
      <c r="F119" s="25">
        <f>+'㈱塩釜'!F119+'機船'!F119</f>
        <v>55.94400397866569</v>
      </c>
      <c r="G119" s="25">
        <f>+'㈱塩釜'!G119+'機船'!G119</f>
        <v>20.77919988330454</v>
      </c>
      <c r="H119" s="25">
        <f>+'㈱塩釜'!H119+'機船'!H119</f>
        <v>37.92900002406738</v>
      </c>
      <c r="I119" s="25">
        <f>+'㈱塩釜'!I119+'機船'!I119</f>
        <v>13.479000053935948</v>
      </c>
      <c r="J119" s="25">
        <f>+'㈱塩釜'!J119+'機船'!J119</f>
        <v>10.810999994988462</v>
      </c>
      <c r="K119" s="25">
        <f>+'㈱塩釜'!K119+'機船'!K119</f>
        <v>22.15099982455901</v>
      </c>
      <c r="L119" s="25">
        <f>+'㈱塩釜'!L119+'機船'!L119</f>
        <v>2.8079999912324265</v>
      </c>
      <c r="M119" s="25">
        <f>+'㈱塩釜'!M119+'機船'!M119</f>
        <v>5.71359999079343</v>
      </c>
      <c r="N119" s="25">
        <f>+'㈱塩釜'!N119+'機船'!N119</f>
        <v>60.36100012600174</v>
      </c>
      <c r="O119" s="25">
        <f>+'㈱塩釜'!O119+'機船'!O119</f>
        <v>219.18599900190895</v>
      </c>
      <c r="P119" s="9">
        <f t="shared" si="2"/>
        <v>554.5613131629598</v>
      </c>
    </row>
    <row r="120" spans="1:16" ht="19.5" customHeight="1">
      <c r="A120" s="45" t="s">
        <v>70</v>
      </c>
      <c r="B120" s="382" t="s">
        <v>192</v>
      </c>
      <c r="C120" s="54" t="s">
        <v>16</v>
      </c>
      <c r="D120" s="26">
        <f>+'㈱塩釜'!D120+'機船'!D120</f>
        <v>0.2646</v>
      </c>
      <c r="E120" s="26">
        <f>+'㈱塩釜'!E120+'機船'!E120</f>
        <v>0.8426</v>
      </c>
      <c r="F120" s="26">
        <f>+'㈱塩釜'!F120+'機船'!F120</f>
        <v>0.986</v>
      </c>
      <c r="G120" s="26">
        <f>+'㈱塩釜'!G120+'機船'!G120</f>
        <v>1.2530000000000001</v>
      </c>
      <c r="H120" s="26">
        <f>+'㈱塩釜'!H120+'機船'!H120</f>
        <v>2.513</v>
      </c>
      <c r="I120" s="26">
        <f>+'㈱塩釜'!I120+'機船'!I120</f>
        <v>1.9644</v>
      </c>
      <c r="J120" s="26">
        <f>+'㈱塩釜'!J120+'機船'!J120</f>
        <v>2.302</v>
      </c>
      <c r="K120" s="26">
        <f>+'㈱塩釜'!K120+'機船'!K120</f>
        <v>3.2</v>
      </c>
      <c r="L120" s="26">
        <f>+'㈱塩釜'!L120+'機船'!L120</f>
        <v>1.4149999999999998</v>
      </c>
      <c r="M120" s="26">
        <f>+'㈱塩釜'!M120+'機船'!M120</f>
        <v>1.524</v>
      </c>
      <c r="N120" s="26">
        <f>+'㈱塩釜'!N120+'機船'!N120</f>
        <v>1.137</v>
      </c>
      <c r="O120" s="26">
        <f>+'㈱塩釜'!O120+'機船'!O120</f>
        <v>1.9615</v>
      </c>
      <c r="P120" s="8">
        <f t="shared" si="2"/>
        <v>19.3631</v>
      </c>
    </row>
    <row r="121" spans="1:16" ht="19.5" customHeight="1">
      <c r="A121" s="45"/>
      <c r="B121" s="383"/>
      <c r="C121" s="48" t="s">
        <v>18</v>
      </c>
      <c r="D121" s="25">
        <f>+'㈱塩釜'!D121+'機船'!D121</f>
        <v>109.80900089180469</v>
      </c>
      <c r="E121" s="25">
        <f>+'㈱塩釜'!E121+'機船'!E121</f>
        <v>353.89208365308065</v>
      </c>
      <c r="F121" s="25">
        <f>+'㈱塩釜'!F121+'機船'!F121</f>
        <v>416.7975349070005</v>
      </c>
      <c r="G121" s="25">
        <f>+'㈱塩釜'!G121+'機船'!G121</f>
        <v>538.0559967709423</v>
      </c>
      <c r="H121" s="25">
        <f>+'㈱塩釜'!H121+'機船'!H121</f>
        <v>987.6600059217781</v>
      </c>
      <c r="I121" s="25">
        <f>+'㈱塩釜'!I121+'機船'!I121</f>
        <v>761.508010775953</v>
      </c>
      <c r="J121" s="25">
        <f>+'㈱塩釜'!J121+'機船'!J121</f>
        <v>1199.447996478893</v>
      </c>
      <c r="K121" s="25">
        <f>+'㈱塩釜'!K121+'機船'!K121</f>
        <v>1630.0439825760925</v>
      </c>
      <c r="L121" s="25">
        <f>+'㈱塩釜'!L121+'機船'!L121</f>
        <v>597.5099999342432</v>
      </c>
      <c r="M121" s="25">
        <f>+'㈱塩釜'!M121+'機船'!M121</f>
        <v>657.3311999476679</v>
      </c>
      <c r="N121" s="25">
        <f>+'㈱塩釜'!N121+'機船'!N121</f>
        <v>490.05000008655264</v>
      </c>
      <c r="O121" s="25">
        <f>+'㈱塩釜'!O121+'機船'!O121</f>
        <v>844.128</v>
      </c>
      <c r="P121" s="9">
        <f t="shared" si="2"/>
        <v>8586.233811944008</v>
      </c>
    </row>
    <row r="122" spans="1:16" ht="19.5" customHeight="1">
      <c r="A122" s="45"/>
      <c r="B122" s="382" t="s">
        <v>72</v>
      </c>
      <c r="C122" s="54" t="s">
        <v>16</v>
      </c>
      <c r="D122" s="26">
        <f>+'㈱塩釜'!D122+'機船'!D122</f>
        <v>5.574</v>
      </c>
      <c r="E122" s="26">
        <f>+'㈱塩釜'!E122+'機船'!E122</f>
        <v>5.35</v>
      </c>
      <c r="F122" s="26">
        <f>+'㈱塩釜'!F122+'機船'!F122</f>
        <v>9.492700000000001</v>
      </c>
      <c r="G122" s="26">
        <f>+'㈱塩釜'!G122+'機船'!G122</f>
        <v>6.4216</v>
      </c>
      <c r="H122" s="26">
        <f>+'㈱塩釜'!H122+'機船'!H122</f>
        <v>6.6518</v>
      </c>
      <c r="I122" s="26">
        <f>+'㈱塩釜'!I122+'機船'!I122</f>
        <v>5.5787</v>
      </c>
      <c r="J122" s="26">
        <f>+'㈱塩釜'!J122+'機船'!J122</f>
        <v>5.8304</v>
      </c>
      <c r="K122" s="26">
        <f>+'㈱塩釜'!K122+'機船'!K122</f>
        <v>7.2512</v>
      </c>
      <c r="L122" s="26">
        <f>+'㈱塩釜'!L122+'機船'!L122</f>
        <v>5.7334000000000005</v>
      </c>
      <c r="M122" s="26">
        <f>+'㈱塩釜'!M122+'機船'!M122</f>
        <v>5.4018</v>
      </c>
      <c r="N122" s="26">
        <f>+'㈱塩釜'!N122+'機船'!N122</f>
        <v>5.3382</v>
      </c>
      <c r="O122" s="26">
        <f>+'㈱塩釜'!O122+'機船'!O122</f>
        <v>9.452</v>
      </c>
      <c r="P122" s="8">
        <f t="shared" si="2"/>
        <v>78.07579999999999</v>
      </c>
    </row>
    <row r="123" spans="1:16" ht="19.5" customHeight="1">
      <c r="A123" s="45"/>
      <c r="B123" s="383"/>
      <c r="C123" s="48" t="s">
        <v>18</v>
      </c>
      <c r="D123" s="25">
        <f>+'㈱塩釜'!D123+'機船'!D123</f>
        <v>2849.0076136324046</v>
      </c>
      <c r="E123" s="25">
        <f>+'㈱塩釜'!E123+'機船'!E123</f>
        <v>2695.084030921083</v>
      </c>
      <c r="F123" s="25">
        <f>+'㈱塩釜'!F123+'機船'!F123</f>
        <v>4275.374625992631</v>
      </c>
      <c r="G123" s="25">
        <f>+'㈱塩釜'!G123+'機船'!G123</f>
        <v>3692.4069441791617</v>
      </c>
      <c r="H123" s="25">
        <f>+'㈱塩釜'!H123+'機船'!H123</f>
        <v>4221.352642157561</v>
      </c>
      <c r="I123" s="25">
        <f>+'㈱塩釜'!I123+'機船'!I123</f>
        <v>4046.7222750567034</v>
      </c>
      <c r="J123" s="25">
        <f>+'㈱塩釜'!J123+'機船'!J123</f>
        <v>4204.1375826965605</v>
      </c>
      <c r="K123" s="25">
        <f>+'㈱塩釜'!K123+'機船'!K123</f>
        <v>5427.46430895233</v>
      </c>
      <c r="L123" s="25">
        <f>+'㈱塩釜'!L123+'機船'!L123</f>
        <v>3641.9759444714514</v>
      </c>
      <c r="M123" s="25">
        <f>+'㈱塩釜'!M123+'機船'!M123</f>
        <v>3633.6005809451567</v>
      </c>
      <c r="N123" s="25">
        <f>+'㈱塩釜'!N123+'機船'!N123</f>
        <v>3700.452639176473</v>
      </c>
      <c r="O123" s="25">
        <f>+'㈱塩釜'!O123+'機船'!O123</f>
        <v>5534.994548832854</v>
      </c>
      <c r="P123" s="9">
        <f t="shared" si="2"/>
        <v>47922.57373701437</v>
      </c>
    </row>
    <row r="124" spans="1:16" ht="19.5" customHeight="1">
      <c r="A124" s="45" t="s">
        <v>23</v>
      </c>
      <c r="B124" s="382" t="s">
        <v>193</v>
      </c>
      <c r="C124" s="54" t="s">
        <v>16</v>
      </c>
      <c r="D124" s="26">
        <f>+'㈱塩釜'!D124+'機船'!D124</f>
        <v>4.447100000000001</v>
      </c>
      <c r="E124" s="26">
        <f>+'㈱塩釜'!E124+'機船'!E124</f>
        <v>2.607</v>
      </c>
      <c r="F124" s="26">
        <f>+'㈱塩釜'!F124+'機船'!F124</f>
        <v>3.0132000000000003</v>
      </c>
      <c r="G124" s="26">
        <f>+'㈱塩釜'!G124+'機船'!G124</f>
        <v>2.641</v>
      </c>
      <c r="H124" s="26">
        <f>+'㈱塩釜'!H124+'機船'!H124</f>
        <v>2.851</v>
      </c>
      <c r="I124" s="26">
        <f>+'㈱塩釜'!I124+'機船'!I124</f>
        <v>3.628</v>
      </c>
      <c r="J124" s="26">
        <f>+'㈱塩釜'!J124+'機船'!J124</f>
        <v>2.77</v>
      </c>
      <c r="K124" s="26">
        <f>+'㈱塩釜'!K124+'機船'!K124</f>
        <v>1.6842000000000001</v>
      </c>
      <c r="L124" s="26">
        <f>+'㈱塩釜'!L124+'機船'!L124</f>
        <v>1.5604</v>
      </c>
      <c r="M124" s="26">
        <f>+'㈱塩釜'!M124+'機船'!M124</f>
        <v>1.1574</v>
      </c>
      <c r="N124" s="26">
        <f>+'㈱塩釜'!N124+'機船'!N124</f>
        <v>0.4753</v>
      </c>
      <c r="O124" s="26">
        <f>+'㈱塩釜'!O124+'機船'!O124</f>
        <v>1.1215</v>
      </c>
      <c r="P124" s="8">
        <f t="shared" si="2"/>
        <v>27.956100000000003</v>
      </c>
    </row>
    <row r="125" spans="1:16" ht="19.5" customHeight="1">
      <c r="A125" s="50"/>
      <c r="B125" s="383"/>
      <c r="C125" s="48" t="s">
        <v>18</v>
      </c>
      <c r="D125" s="25">
        <f>+'㈱塩釜'!D125+'機船'!D125</f>
        <v>2935.683531326853</v>
      </c>
      <c r="E125" s="25">
        <f>+'㈱塩釜'!E125+'機船'!E125</f>
        <v>2501.9004116513074</v>
      </c>
      <c r="F125" s="25">
        <f>+'㈱塩釜'!F125+'機船'!F125</f>
        <v>3316.1754199876777</v>
      </c>
      <c r="G125" s="25">
        <f>+'㈱塩釜'!G125+'機船'!G125</f>
        <v>3201.187355926082</v>
      </c>
      <c r="H125" s="25">
        <f>+'㈱塩釜'!H125+'機船'!H125</f>
        <v>2945.273428228987</v>
      </c>
      <c r="I125" s="25">
        <f>+'㈱塩釜'!I125+'機船'!I125</f>
        <v>3114.395656002818</v>
      </c>
      <c r="J125" s="25">
        <f>+'㈱塩釜'!J125+'機船'!J125</f>
        <v>3241.231185714785</v>
      </c>
      <c r="K125" s="25">
        <f>+'㈱塩釜'!K125+'機船'!K125</f>
        <v>3609.2299356117023</v>
      </c>
      <c r="L125" s="25">
        <f>+'㈱塩釜'!L125+'機船'!L125</f>
        <v>3882.124337220143</v>
      </c>
      <c r="M125" s="25">
        <f>+'㈱塩釜'!M125+'機船'!M125</f>
        <v>3427.9841809533636</v>
      </c>
      <c r="N125" s="25">
        <f>+'㈱塩釜'!N125+'機船'!N125</f>
        <v>1780.8610191372504</v>
      </c>
      <c r="O125" s="25">
        <f>+'㈱塩釜'!O125+'機船'!O125</f>
        <v>2381.291978274485</v>
      </c>
      <c r="P125" s="9">
        <f t="shared" si="2"/>
        <v>36337.33844003546</v>
      </c>
    </row>
    <row r="126" spans="1:16" ht="19.5" customHeight="1">
      <c r="A126" s="50"/>
      <c r="B126" s="47" t="s">
        <v>20</v>
      </c>
      <c r="C126" s="54" t="s">
        <v>16</v>
      </c>
      <c r="D126" s="26">
        <f>+'㈱塩釜'!D126+'機船'!D126</f>
        <v>0.003</v>
      </c>
      <c r="E126" s="26">
        <f>+'㈱塩釜'!E126+'機船'!E126</f>
        <v>0.0195</v>
      </c>
      <c r="F126" s="26">
        <f>+'㈱塩釜'!F126+'機船'!F126</f>
        <v>0.8838</v>
      </c>
      <c r="G126" s="26">
        <f>+'㈱塩釜'!G126+'機船'!G126</f>
        <v>3.1875</v>
      </c>
      <c r="H126" s="26">
        <f>+'㈱塩釜'!H126+'機船'!H126</f>
        <v>5.5686</v>
      </c>
      <c r="I126" s="26">
        <f>+'㈱塩釜'!I126+'機船'!I126</f>
        <v>5.0432</v>
      </c>
      <c r="J126" s="26">
        <f>+'㈱塩釜'!J126+'機船'!J126</f>
        <v>4.3514</v>
      </c>
      <c r="K126" s="26">
        <f>+'㈱塩釜'!K126+'機船'!K126</f>
        <v>3.1615</v>
      </c>
      <c r="L126" s="26">
        <f>+'㈱塩釜'!L126+'機船'!L126</f>
        <v>0.071</v>
      </c>
      <c r="M126" s="26"/>
      <c r="N126" s="26"/>
      <c r="O126" s="26"/>
      <c r="P126" s="8">
        <f t="shared" si="2"/>
        <v>22.289500000000004</v>
      </c>
    </row>
    <row r="127" spans="1:16" ht="19.5" customHeight="1">
      <c r="A127" s="50"/>
      <c r="B127" s="48" t="s">
        <v>73</v>
      </c>
      <c r="C127" s="48" t="s">
        <v>18</v>
      </c>
      <c r="D127" s="25">
        <f>+'㈱塩釜'!D127+'機船'!D127</f>
        <v>23.625</v>
      </c>
      <c r="E127" s="25">
        <f>+'㈱塩釜'!E127+'機船'!E127</f>
        <v>37.27501170033764</v>
      </c>
      <c r="F127" s="25">
        <f>+'㈱塩釜'!F127+'機船'!F127</f>
        <v>355.55630767447207</v>
      </c>
      <c r="G127" s="25">
        <f>+'㈱塩釜'!G127+'機船'!G127</f>
        <v>1377.318576956361</v>
      </c>
      <c r="H127" s="25">
        <f>+'㈱塩釜'!H127+'機船'!H127</f>
        <v>2748.7782262919845</v>
      </c>
      <c r="I127" s="25">
        <f>+'㈱塩釜'!I127+'機船'!I127</f>
        <v>1987.4478373182824</v>
      </c>
      <c r="J127" s="25">
        <f>+'㈱塩釜'!J127+'機船'!J127</f>
        <v>1782.6533931933034</v>
      </c>
      <c r="K127" s="25">
        <f>+'㈱塩釜'!K127+'機船'!K127</f>
        <v>1130.543979707002</v>
      </c>
      <c r="L127" s="25">
        <f>+'㈱塩釜'!L127+'機船'!L127</f>
        <v>32.205599477101934</v>
      </c>
      <c r="M127" s="25"/>
      <c r="N127" s="25"/>
      <c r="O127" s="25"/>
      <c r="P127" s="9">
        <f t="shared" si="2"/>
        <v>9475.403932318843</v>
      </c>
    </row>
    <row r="128" spans="1:16" ht="19.5" customHeight="1">
      <c r="A128" s="50"/>
      <c r="B128" s="380" t="s">
        <v>194</v>
      </c>
      <c r="C128" s="54" t="s">
        <v>16</v>
      </c>
      <c r="D128" s="26">
        <f>+'㈱塩釜'!D128+'機船'!D128</f>
        <v>16.1438</v>
      </c>
      <c r="E128" s="26">
        <f>+'㈱塩釜'!E128+'機船'!E128</f>
        <v>13.5945</v>
      </c>
      <c r="F128" s="26">
        <f>+'㈱塩釜'!F128+'機船'!F128</f>
        <v>17.888600000000004</v>
      </c>
      <c r="G128" s="26">
        <f>+'㈱塩釜'!G128+'機船'!G128</f>
        <v>17.4238</v>
      </c>
      <c r="H128" s="26">
        <f>+'㈱塩釜'!H128+'機船'!H128</f>
        <v>23.687900000000003</v>
      </c>
      <c r="I128" s="26">
        <f>+'㈱塩釜'!I128+'機船'!I128</f>
        <v>22.4253</v>
      </c>
      <c r="J128" s="26">
        <f>+'㈱塩釜'!J128+'機船'!J128</f>
        <v>19.4248</v>
      </c>
      <c r="K128" s="26">
        <f>+'㈱塩釜'!K128+'機船'!K128</f>
        <v>29.8273</v>
      </c>
      <c r="L128" s="26">
        <f>+'㈱塩釜'!L128+'機船'!L128</f>
        <v>146.75099999999998</v>
      </c>
      <c r="M128" s="26">
        <f>+'㈱塩釜'!M128+'機船'!M128</f>
        <v>323.8391</v>
      </c>
      <c r="N128" s="26">
        <f>+'㈱塩釜'!N128+'機船'!N128</f>
        <v>711.3154999999999</v>
      </c>
      <c r="O128" s="26">
        <f>+'㈱塩釜'!O128+'機船'!O128</f>
        <v>236.41269999999997</v>
      </c>
      <c r="P128" s="8">
        <f t="shared" si="2"/>
        <v>1578.7343</v>
      </c>
    </row>
    <row r="129" spans="1:16" ht="19.5" customHeight="1">
      <c r="A129" s="49"/>
      <c r="B129" s="381"/>
      <c r="C129" s="48" t="s">
        <v>18</v>
      </c>
      <c r="D129" s="25">
        <f>+'㈱塩釜'!D129+'機船'!D129</f>
        <v>9605.098632708963</v>
      </c>
      <c r="E129" s="25">
        <f>+'㈱塩釜'!E129+'機船'!E129</f>
        <v>9041.375820313024</v>
      </c>
      <c r="F129" s="25">
        <f>+'㈱塩釜'!F129+'機船'!F129</f>
        <v>11018.972185499262</v>
      </c>
      <c r="G129" s="25">
        <f>+'㈱塩釜'!G129+'機船'!G129</f>
        <v>13552.569247607687</v>
      </c>
      <c r="H129" s="25">
        <f>+'㈱塩釜'!H129+'機船'!H129</f>
        <v>16293.590926703728</v>
      </c>
      <c r="I129" s="25">
        <f>+'㈱塩釜'!I129+'機船'!I129</f>
        <v>13239.670737463992</v>
      </c>
      <c r="J129" s="25">
        <f>+'㈱塩釜'!J129+'機船'!J129</f>
        <v>12675.057075820085</v>
      </c>
      <c r="K129" s="25">
        <f>+'㈱塩釜'!K129+'機船'!K129</f>
        <v>15228.287718572436</v>
      </c>
      <c r="L129" s="25">
        <f>+'㈱塩釜'!L129+'機船'!L129</f>
        <v>40996.06077920243</v>
      </c>
      <c r="M129" s="25">
        <f>+'㈱塩釜'!M129+'機船'!M129</f>
        <v>75394.50874636394</v>
      </c>
      <c r="N129" s="25">
        <f>+'㈱塩釜'!N129+'機船'!N129</f>
        <v>155882.21150666903</v>
      </c>
      <c r="O129" s="25">
        <f>+'㈱塩釜'!O129+'機船'!O129</f>
        <v>65485.92121837662</v>
      </c>
      <c r="P129" s="9">
        <f t="shared" si="2"/>
        <v>438413.3245953012</v>
      </c>
    </row>
    <row r="130" spans="1:16" ht="19.5" customHeight="1">
      <c r="A130" s="44" t="s">
        <v>0</v>
      </c>
      <c r="B130" s="382" t="s">
        <v>74</v>
      </c>
      <c r="C130" s="54" t="s">
        <v>16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8"/>
    </row>
    <row r="131" spans="1:16" ht="19.5" customHeight="1">
      <c r="A131" s="44" t="s">
        <v>0</v>
      </c>
      <c r="B131" s="383"/>
      <c r="C131" s="48" t="s">
        <v>18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9"/>
    </row>
    <row r="132" spans="1:16" ht="19.5" customHeight="1">
      <c r="A132" s="45" t="s">
        <v>75</v>
      </c>
      <c r="B132" s="382" t="s">
        <v>76</v>
      </c>
      <c r="C132" s="54" t="s">
        <v>16</v>
      </c>
      <c r="D132" s="26">
        <f>+'㈱塩釜'!D132+'機船'!D132</f>
        <v>0.2731</v>
      </c>
      <c r="E132" s="26">
        <f>+'㈱塩釜'!E132+'機船'!E132</f>
        <v>0.1</v>
      </c>
      <c r="F132" s="26"/>
      <c r="G132" s="26">
        <f>+'㈱塩釜'!G132+'機船'!G132</f>
        <v>0.045</v>
      </c>
      <c r="H132" s="26"/>
      <c r="I132" s="26"/>
      <c r="J132" s="26"/>
      <c r="K132" s="26"/>
      <c r="L132" s="26"/>
      <c r="M132" s="26"/>
      <c r="N132" s="26"/>
      <c r="O132" s="26"/>
      <c r="P132" s="8">
        <f t="shared" si="2"/>
        <v>0.41809999999999997</v>
      </c>
    </row>
    <row r="133" spans="1:16" ht="19.5" customHeight="1">
      <c r="A133" s="45"/>
      <c r="B133" s="383"/>
      <c r="C133" s="48" t="s">
        <v>18</v>
      </c>
      <c r="D133" s="25">
        <f>+'㈱塩釜'!D133+'機船'!D133</f>
        <v>61.768002637665724</v>
      </c>
      <c r="E133" s="25">
        <f>+'㈱塩釜'!E133+'機船'!E133</f>
        <v>9.24000381344338</v>
      </c>
      <c r="F133" s="25"/>
      <c r="G133" s="25">
        <f>+'㈱塩釜'!G133+'機船'!G133</f>
        <v>41.3099993068942</v>
      </c>
      <c r="H133" s="25"/>
      <c r="I133" s="25"/>
      <c r="J133" s="25"/>
      <c r="K133" s="25"/>
      <c r="L133" s="25"/>
      <c r="M133" s="25"/>
      <c r="N133" s="25"/>
      <c r="O133" s="25"/>
      <c r="P133" s="9">
        <f t="shared" si="2"/>
        <v>112.31800575800331</v>
      </c>
    </row>
    <row r="134" spans="1:16" ht="19.5" customHeight="1">
      <c r="A134" s="45" t="s">
        <v>77</v>
      </c>
      <c r="B134" s="47" t="s">
        <v>20</v>
      </c>
      <c r="C134" s="140" t="s">
        <v>16</v>
      </c>
      <c r="D134" s="20">
        <f>+'㈱塩釜'!D134+'機船'!D134</f>
        <v>0.398</v>
      </c>
      <c r="E134" s="20">
        <f>+'㈱塩釜'!E134+'機船'!E134</f>
        <v>0.8673</v>
      </c>
      <c r="F134" s="20">
        <f>+'㈱塩釜'!F134+'機船'!F134</f>
        <v>0.9582999999999999</v>
      </c>
      <c r="G134" s="20">
        <f>+'㈱塩釜'!G134+'機船'!G134</f>
        <v>0.018</v>
      </c>
      <c r="H134" s="20"/>
      <c r="I134" s="20"/>
      <c r="J134" s="20"/>
      <c r="K134" s="20"/>
      <c r="L134" s="20"/>
      <c r="M134" s="20"/>
      <c r="N134" s="20"/>
      <c r="O134" s="20"/>
      <c r="P134" s="194">
        <f t="shared" si="2"/>
        <v>2.2415999999999996</v>
      </c>
    </row>
    <row r="135" spans="1:16" ht="19.5" customHeight="1">
      <c r="A135" s="45"/>
      <c r="B135" s="47" t="s">
        <v>214</v>
      </c>
      <c r="C135" s="54" t="s">
        <v>79</v>
      </c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8"/>
    </row>
    <row r="136" spans="1:16" ht="19.5" customHeight="1">
      <c r="A136" s="45" t="s">
        <v>23</v>
      </c>
      <c r="B136" s="2"/>
      <c r="C136" s="48" t="s">
        <v>18</v>
      </c>
      <c r="D136" s="25">
        <f>+'㈱塩釜'!D136+'機船'!D136</f>
        <v>213.64201804842827</v>
      </c>
      <c r="E136" s="25">
        <f>+'㈱塩釜'!E136+'機船'!E136</f>
        <v>397.29208038565304</v>
      </c>
      <c r="F136" s="25">
        <f>+'㈱塩釜'!F136+'機船'!F136</f>
        <v>393.0110290326778</v>
      </c>
      <c r="G136" s="25">
        <f>+'㈱塩釜'!G136+'機船'!G136</f>
        <v>5.83199990214977</v>
      </c>
      <c r="H136" s="25"/>
      <c r="I136" s="25"/>
      <c r="J136" s="25"/>
      <c r="K136" s="25"/>
      <c r="L136" s="25"/>
      <c r="M136" s="25"/>
      <c r="N136" s="25"/>
      <c r="O136" s="25"/>
      <c r="P136" s="9">
        <f aca="true" t="shared" si="3" ref="P136:P142">SUM(D136:O136)</f>
        <v>1009.7771273689089</v>
      </c>
    </row>
    <row r="137" spans="1:16" ht="19.5" customHeight="1">
      <c r="A137" s="45"/>
      <c r="B137" s="55" t="s">
        <v>0</v>
      </c>
      <c r="C137" s="140" t="s">
        <v>16</v>
      </c>
      <c r="D137" s="20">
        <f>+'㈱塩釜'!D137+'機船'!D137</f>
        <v>0.6711</v>
      </c>
      <c r="E137" s="20">
        <f>+'㈱塩釜'!E137+'機船'!E137</f>
        <v>0.9672999999999999</v>
      </c>
      <c r="F137" s="20">
        <f>+'㈱塩釜'!F137+'機船'!F137</f>
        <v>0.9582999999999999</v>
      </c>
      <c r="G137" s="20">
        <f>+'㈱塩釜'!G137+'機船'!G137</f>
        <v>0.063</v>
      </c>
      <c r="H137" s="20"/>
      <c r="I137" s="20"/>
      <c r="J137" s="20"/>
      <c r="K137" s="20"/>
      <c r="L137" s="20"/>
      <c r="M137" s="20"/>
      <c r="N137" s="20"/>
      <c r="O137" s="20"/>
      <c r="P137" s="194">
        <f t="shared" si="3"/>
        <v>2.6597</v>
      </c>
    </row>
    <row r="138" spans="1:16" ht="19.5" customHeight="1">
      <c r="A138" s="50"/>
      <c r="B138" s="56" t="s">
        <v>195</v>
      </c>
      <c r="C138" s="54" t="s">
        <v>79</v>
      </c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8"/>
    </row>
    <row r="139" spans="1:16" ht="19.5" customHeight="1">
      <c r="A139" s="49"/>
      <c r="B139" s="2"/>
      <c r="C139" s="48" t="s">
        <v>18</v>
      </c>
      <c r="D139" s="25">
        <f>+'㈱塩釜'!D139+'機船'!D139</f>
        <v>275.41002068609396</v>
      </c>
      <c r="E139" s="25">
        <f>+'㈱塩釜'!E139+'機船'!E139</f>
        <v>406.5320841990964</v>
      </c>
      <c r="F139" s="25">
        <f>+'㈱塩釜'!F139+'機船'!F139</f>
        <v>393.0110290326778</v>
      </c>
      <c r="G139" s="25">
        <f>+'㈱塩釜'!G139+'機船'!G139</f>
        <v>47.141999209043966</v>
      </c>
      <c r="H139" s="25"/>
      <c r="I139" s="25"/>
      <c r="J139" s="25"/>
      <c r="K139" s="25"/>
      <c r="L139" s="25"/>
      <c r="M139" s="25"/>
      <c r="N139" s="25"/>
      <c r="O139" s="25"/>
      <c r="P139" s="9">
        <f t="shared" si="3"/>
        <v>1122.095133126912</v>
      </c>
    </row>
    <row r="140" spans="1:16" s="70" customFormat="1" ht="19.5" customHeight="1">
      <c r="A140" s="57"/>
      <c r="B140" s="58" t="s">
        <v>0</v>
      </c>
      <c r="C140" s="198" t="s">
        <v>16</v>
      </c>
      <c r="D140" s="83">
        <f>D137+D128+D104</f>
        <v>1413.3527100000001</v>
      </c>
      <c r="E140" s="83">
        <f aca="true" t="shared" si="4" ref="E140:O140">E137+E128+E104</f>
        <v>349.9245</v>
      </c>
      <c r="F140" s="83">
        <f t="shared" si="4"/>
        <v>578.9242999999999</v>
      </c>
      <c r="G140" s="83">
        <f t="shared" si="4"/>
        <v>864.4686</v>
      </c>
      <c r="H140" s="83">
        <f t="shared" si="4"/>
        <v>1070.68095</v>
      </c>
      <c r="I140" s="83">
        <f t="shared" si="4"/>
        <v>1998.423</v>
      </c>
      <c r="J140" s="83">
        <f t="shared" si="4"/>
        <v>1524.4691</v>
      </c>
      <c r="K140" s="83">
        <f t="shared" si="4"/>
        <v>1746.3649999999998</v>
      </c>
      <c r="L140" s="83">
        <f t="shared" si="4"/>
        <v>1935.8931</v>
      </c>
      <c r="M140" s="83">
        <f t="shared" si="4"/>
        <v>2281.2619</v>
      </c>
      <c r="N140" s="83">
        <f t="shared" si="4"/>
        <v>2977.1508000000003</v>
      </c>
      <c r="O140" s="83">
        <f t="shared" si="4"/>
        <v>1225.21742</v>
      </c>
      <c r="P140" s="200">
        <f t="shared" si="3"/>
        <v>17966.13138</v>
      </c>
    </row>
    <row r="141" spans="1:16" s="70" customFormat="1" ht="19.5" customHeight="1">
      <c r="A141" s="57"/>
      <c r="B141" s="61" t="s">
        <v>131</v>
      </c>
      <c r="C141" s="62" t="s">
        <v>79</v>
      </c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15"/>
    </row>
    <row r="142" spans="1:16" s="70" customFormat="1" ht="19.5" customHeight="1" thickBot="1">
      <c r="A142" s="63"/>
      <c r="B142" s="64"/>
      <c r="C142" s="65" t="s">
        <v>18</v>
      </c>
      <c r="D142" s="29">
        <f>D139+D129+D105</f>
        <v>665492.1040000002</v>
      </c>
      <c r="E142" s="29">
        <f aca="true" t="shared" si="5" ref="E142:O142">E139+E129+E105</f>
        <v>255269.14000000004</v>
      </c>
      <c r="F142" s="29">
        <f t="shared" si="5"/>
        <v>323524.223</v>
      </c>
      <c r="G142" s="29">
        <f t="shared" si="5"/>
        <v>446386.0629999999</v>
      </c>
      <c r="H142" s="29">
        <f t="shared" si="5"/>
        <v>482788.176</v>
      </c>
      <c r="I142" s="29">
        <f t="shared" si="5"/>
        <v>916582.155</v>
      </c>
      <c r="J142" s="29">
        <f t="shared" si="5"/>
        <v>613029.72</v>
      </c>
      <c r="K142" s="29">
        <f t="shared" si="5"/>
        <v>614128.5630000001</v>
      </c>
      <c r="L142" s="29">
        <f t="shared" si="5"/>
        <v>1027208.799</v>
      </c>
      <c r="M142" s="29">
        <f t="shared" si="5"/>
        <v>1303876.909</v>
      </c>
      <c r="N142" s="29">
        <f t="shared" si="5"/>
        <v>1118141.304</v>
      </c>
      <c r="O142" s="29">
        <f t="shared" si="5"/>
        <v>675695.6539999999</v>
      </c>
      <c r="P142" s="7">
        <f t="shared" si="3"/>
        <v>8442122.809999999</v>
      </c>
    </row>
    <row r="143" spans="15:16" ht="18.75">
      <c r="O143" s="66"/>
      <c r="P143" s="67" t="s">
        <v>92</v>
      </c>
    </row>
  </sheetData>
  <sheetProtection/>
  <mergeCells count="52">
    <mergeCell ref="A1:P1"/>
    <mergeCell ref="B5:B6"/>
    <mergeCell ref="B9:B10"/>
    <mergeCell ref="A11:B12"/>
    <mergeCell ref="B13:B14"/>
    <mergeCell ref="B31:B32"/>
    <mergeCell ref="B33:B34"/>
    <mergeCell ref="B15:B16"/>
    <mergeCell ref="B17:B18"/>
    <mergeCell ref="B21:B22"/>
    <mergeCell ref="B23:B24"/>
    <mergeCell ref="B25:B26"/>
    <mergeCell ref="B29:B30"/>
    <mergeCell ref="B37:B38"/>
    <mergeCell ref="A39:B40"/>
    <mergeCell ref="A41:B42"/>
    <mergeCell ref="A43:B44"/>
    <mergeCell ref="A45:B46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B88:B89"/>
    <mergeCell ref="A90:B91"/>
    <mergeCell ref="A92:B93"/>
    <mergeCell ref="A94:B95"/>
    <mergeCell ref="A96:B97"/>
    <mergeCell ref="B130:B131"/>
    <mergeCell ref="A98:B99"/>
    <mergeCell ref="A100:B101"/>
    <mergeCell ref="A102:B103"/>
    <mergeCell ref="A104:B105"/>
    <mergeCell ref="B106:B107"/>
    <mergeCell ref="B108:B109"/>
    <mergeCell ref="B132:B133"/>
    <mergeCell ref="B118:B119"/>
    <mergeCell ref="B120:B121"/>
    <mergeCell ref="B122:B123"/>
    <mergeCell ref="B124:B125"/>
    <mergeCell ref="B110:B111"/>
    <mergeCell ref="B112:B113"/>
    <mergeCell ref="B114:B115"/>
    <mergeCell ref="B116:B117"/>
    <mergeCell ref="B128:B129"/>
  </mergeCells>
  <printOptions/>
  <pageMargins left="0.7" right="0.7" top="0.75" bottom="0.75" header="0.3" footer="0.3"/>
  <pageSetup firstPageNumber="45" useFirstPageNumber="1" fitToHeight="2" fitToWidth="1" horizontalDpi="600" verticalDpi="600" orientation="landscape" paperSize="9" scale="36" r:id="rId1"/>
  <rowBreaks count="1" manualBreakCount="1">
    <brk id="73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="50" zoomScaleNormal="50" zoomScalePageLayoutView="0" workbookViewId="0" topLeftCell="A1">
      <pane ySplit="4" topLeftCell="A5" activePane="bottomLeft" state="frozen"/>
      <selection pane="topLeft" activeCell="B2" sqref="B2"/>
      <selection pane="bottomLef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2.625" style="11" customWidth="1"/>
    <col min="16" max="16" width="25.625" style="37" customWidth="1"/>
    <col min="17" max="16384" width="9.00390625" style="81" customWidth="1"/>
  </cols>
  <sheetData>
    <row r="1" spans="1:16" ht="30.75" customHeight="1">
      <c r="A1" s="375" t="s">
        <v>104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ht="30.75" customHeight="1">
      <c r="B2" s="36"/>
    </row>
    <row r="3" spans="1:15" ht="19.5" customHeight="1" thickBot="1">
      <c r="A3" s="12" t="s">
        <v>91</v>
      </c>
      <c r="B3" s="39"/>
      <c r="C3" s="12"/>
      <c r="O3" s="12" t="s">
        <v>90</v>
      </c>
    </row>
    <row r="4" spans="1:16" ht="19.5" customHeight="1">
      <c r="A4" s="40"/>
      <c r="B4" s="41"/>
      <c r="C4" s="41"/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8</v>
      </c>
      <c r="K4" s="42" t="s">
        <v>9</v>
      </c>
      <c r="L4" s="42" t="s">
        <v>10</v>
      </c>
      <c r="M4" s="42" t="s">
        <v>11</v>
      </c>
      <c r="N4" s="42" t="s">
        <v>12</v>
      </c>
      <c r="O4" s="42" t="s">
        <v>13</v>
      </c>
      <c r="P4" s="43" t="s">
        <v>14</v>
      </c>
    </row>
    <row r="5" spans="1:16" ht="19.5" customHeight="1">
      <c r="A5" s="44" t="s">
        <v>0</v>
      </c>
      <c r="B5" s="382" t="s">
        <v>15</v>
      </c>
      <c r="C5" s="54" t="s">
        <v>16</v>
      </c>
      <c r="D5" s="1">
        <f>SUM('石巻第１:石巻第２'!D5)</f>
        <v>315.444</v>
      </c>
      <c r="E5" s="1">
        <f>SUM('石巻第１:石巻第２'!E5)</f>
        <v>1.5128</v>
      </c>
      <c r="F5" s="1">
        <f>SUM('石巻第１:石巻第２'!F5)</f>
        <v>0.2452</v>
      </c>
      <c r="G5" s="1"/>
      <c r="H5" s="1">
        <f>SUM('石巻第１:石巻第２'!H5)</f>
        <v>85.7086</v>
      </c>
      <c r="I5" s="1">
        <f>SUM('石巻第１:石巻第２'!I5)</f>
        <v>2254.819</v>
      </c>
      <c r="J5" s="1">
        <f>SUM('石巻第１:石巻第２'!J5)</f>
        <v>308.9984</v>
      </c>
      <c r="K5" s="1">
        <f>SUM('石巻第１:石巻第２'!K5)</f>
        <v>100.23</v>
      </c>
      <c r="L5" s="1">
        <f>SUM('石巻第１:石巻第２'!L5)</f>
        <v>66.3496</v>
      </c>
      <c r="M5" s="1">
        <f>SUM('石巻第１:石巻第２'!M5)</f>
        <v>65.6014</v>
      </c>
      <c r="N5" s="1">
        <f>SUM('石巻第１:石巻第２'!N5)</f>
        <v>1351.7</v>
      </c>
      <c r="O5" s="1">
        <f>SUM('石巻第１:石巻第２'!O5)</f>
        <v>1104.5112</v>
      </c>
      <c r="P5" s="8">
        <f>SUM('石巻第１:石巻第２'!P5)</f>
        <v>5655.1202</v>
      </c>
    </row>
    <row r="6" spans="1:16" ht="19.5" customHeight="1">
      <c r="A6" s="45" t="s">
        <v>17</v>
      </c>
      <c r="B6" s="383"/>
      <c r="C6" s="48" t="s">
        <v>18</v>
      </c>
      <c r="D6" s="2">
        <f>SUM('石巻第１:石巻第２'!D6)</f>
        <v>34414.864</v>
      </c>
      <c r="E6" s="2">
        <f>SUM('石巻第１:石巻第２'!E6)</f>
        <v>159.779</v>
      </c>
      <c r="F6" s="2">
        <f>SUM('石巻第１:石巻第２'!F6)</f>
        <v>70.513</v>
      </c>
      <c r="G6" s="2"/>
      <c r="H6" s="2">
        <f>SUM('石巻第１:石巻第２'!H6)</f>
        <v>7832.309</v>
      </c>
      <c r="I6" s="2">
        <f>SUM('石巻第１:石巻第２'!I6)</f>
        <v>258127.366</v>
      </c>
      <c r="J6" s="2">
        <f>SUM('石巻第１:石巻第２'!J6)</f>
        <v>72185.648</v>
      </c>
      <c r="K6" s="2">
        <f>SUM('石巻第１:石巻第２'!K6)</f>
        <v>4489.855</v>
      </c>
      <c r="L6" s="2">
        <f>SUM('石巻第１:石巻第２'!L6)</f>
        <v>2569.74</v>
      </c>
      <c r="M6" s="2">
        <f>SUM('石巻第１:石巻第２'!M6)</f>
        <v>2135.794</v>
      </c>
      <c r="N6" s="2">
        <f>SUM('石巻第１:石巻第２'!N6)</f>
        <v>26554.426</v>
      </c>
      <c r="O6" s="2">
        <f>SUM('石巻第１:石巻第２'!O6)</f>
        <v>37870.107</v>
      </c>
      <c r="P6" s="9">
        <f>SUM('石巻第１:石巻第２'!P6)</f>
        <v>446410.40099999995</v>
      </c>
    </row>
    <row r="7" spans="1:16" ht="19.5" customHeight="1">
      <c r="A7" s="45" t="s">
        <v>19</v>
      </c>
      <c r="B7" s="47" t="s">
        <v>20</v>
      </c>
      <c r="C7" s="54" t="s">
        <v>16</v>
      </c>
      <c r="D7" s="1">
        <f>SUM('石巻第１:石巻第２'!D7)</f>
        <v>114.505</v>
      </c>
      <c r="E7" s="1">
        <f>SUM('石巻第１:石巻第２'!E7)</f>
        <v>48.206</v>
      </c>
      <c r="F7" s="1">
        <f>SUM('石巻第１:石巻第２'!F7)</f>
        <v>89.555</v>
      </c>
      <c r="G7" s="1">
        <f>SUM('石巻第１:石巻第２'!G7)</f>
        <v>89.518</v>
      </c>
      <c r="H7" s="1">
        <f>SUM('石巻第１:石巻第２'!H7)</f>
        <v>29.376</v>
      </c>
      <c r="I7" s="1">
        <f>SUM('石巻第１:石巻第２'!I7)</f>
        <v>751.298</v>
      </c>
      <c r="J7" s="1">
        <f>SUM('石巻第１:石巻第２'!J7)</f>
        <v>511.646</v>
      </c>
      <c r="K7" s="1">
        <f>SUM('石巻第１:石巻第２'!K7)</f>
        <v>259.81</v>
      </c>
      <c r="L7" s="1">
        <f>SUM('石巻第１:石巻第２'!L7)</f>
        <v>114.898</v>
      </c>
      <c r="M7" s="1">
        <f>SUM('石巻第１:石巻第２'!M7)</f>
        <v>150.518</v>
      </c>
      <c r="N7" s="1">
        <f>SUM('石巻第１:石巻第２'!N7)</f>
        <v>144.9</v>
      </c>
      <c r="O7" s="1">
        <f>SUM('石巻第１:石巻第２'!O7)</f>
        <v>136.309</v>
      </c>
      <c r="P7" s="8">
        <f>SUM('石巻第１:石巻第２'!P7)</f>
        <v>2440.539</v>
      </c>
    </row>
    <row r="8" spans="1:16" ht="19.5" customHeight="1">
      <c r="A8" s="45" t="s">
        <v>21</v>
      </c>
      <c r="B8" s="48" t="s">
        <v>153</v>
      </c>
      <c r="C8" s="48" t="s">
        <v>18</v>
      </c>
      <c r="D8" s="2">
        <f>SUM('石巻第１:石巻第２'!D8)</f>
        <v>6047.102</v>
      </c>
      <c r="E8" s="2">
        <f>SUM('石巻第１:石巻第２'!E8)</f>
        <v>2614.935</v>
      </c>
      <c r="F8" s="2">
        <f>SUM('石巻第１:石巻第２'!F8)</f>
        <v>4991.034</v>
      </c>
      <c r="G8" s="2">
        <f>SUM('石巻第１:石巻第２'!G8)</f>
        <v>4817.125</v>
      </c>
      <c r="H8" s="2">
        <f>SUM('石巻第１:石巻第２'!H8)</f>
        <v>1455.595</v>
      </c>
      <c r="I8" s="2">
        <f>SUM('石巻第１:石巻第２'!I8)</f>
        <v>52055.759</v>
      </c>
      <c r="J8" s="2">
        <f>SUM('石巻第１:石巻第２'!J8)</f>
        <v>22180.103</v>
      </c>
      <c r="K8" s="2">
        <f>SUM('石巻第１:石巻第２'!K8)</f>
        <v>10086.352</v>
      </c>
      <c r="L8" s="2">
        <f>SUM('石巻第１:石巻第２'!L8)</f>
        <v>3255.873</v>
      </c>
      <c r="M8" s="2">
        <f>SUM('石巻第１:石巻第２'!M8)</f>
        <v>3341.263</v>
      </c>
      <c r="N8" s="2">
        <f>SUM('石巻第１:石巻第２'!N8)</f>
        <v>2733.064</v>
      </c>
      <c r="O8" s="2">
        <f>SUM('石巻第１:石巻第２'!O8)</f>
        <v>5684.18</v>
      </c>
      <c r="P8" s="9">
        <f>SUM('石巻第１:石巻第２'!P8)</f>
        <v>119262.38500000001</v>
      </c>
    </row>
    <row r="9" spans="1:16" s="38" customFormat="1" ht="19.5" customHeight="1">
      <c r="A9" s="44" t="s">
        <v>23</v>
      </c>
      <c r="B9" s="380" t="s">
        <v>114</v>
      </c>
      <c r="C9" s="54" t="s">
        <v>16</v>
      </c>
      <c r="D9" s="1">
        <f>SUM('石巻第１:石巻第２'!D9)</f>
        <v>429.949</v>
      </c>
      <c r="E9" s="1">
        <f>SUM('石巻第１:石巻第２'!E9)</f>
        <v>49.7188</v>
      </c>
      <c r="F9" s="1">
        <f>SUM('石巻第１:石巻第２'!F9)</f>
        <v>89.8002</v>
      </c>
      <c r="G9" s="1">
        <f>SUM('石巻第１:石巻第２'!G9)</f>
        <v>89.518</v>
      </c>
      <c r="H9" s="1">
        <f>SUM('石巻第１:石巻第２'!H9)</f>
        <v>115.08460000000001</v>
      </c>
      <c r="I9" s="1">
        <f>SUM('石巻第１:石巻第２'!I9)</f>
        <v>3006.117</v>
      </c>
      <c r="J9" s="1">
        <f>SUM('石巻第１:石巻第２'!J9)</f>
        <v>820.6444</v>
      </c>
      <c r="K9" s="1">
        <f>SUM('石巻第１:石巻第２'!K9)</f>
        <v>360.04</v>
      </c>
      <c r="L9" s="5">
        <f>SUM('石巻第１:石巻第２'!L9)</f>
        <v>181.24759999999998</v>
      </c>
      <c r="M9" s="5">
        <f>SUM('石巻第１:石巻第２'!M9)</f>
        <v>216.11939999999998</v>
      </c>
      <c r="N9" s="5">
        <f>SUM('石巻第１:石巻第２'!N9)</f>
        <v>1496.6000000000001</v>
      </c>
      <c r="O9" s="5">
        <f>SUM('石巻第１:石巻第２'!O9)</f>
        <v>1240.8201999999999</v>
      </c>
      <c r="P9" s="15">
        <f>SUM('石巻第１:石巻第２'!P9)</f>
        <v>8095.6592</v>
      </c>
    </row>
    <row r="10" spans="1:16" s="38" customFormat="1" ht="19.5" customHeight="1">
      <c r="A10" s="49"/>
      <c r="B10" s="381"/>
      <c r="C10" s="48" t="s">
        <v>18</v>
      </c>
      <c r="D10" s="2">
        <f>SUM('石巻第１:石巻第２'!D10)</f>
        <v>40461.966</v>
      </c>
      <c r="E10" s="2">
        <f>SUM('石巻第１:石巻第２'!E10)</f>
        <v>2774.714</v>
      </c>
      <c r="F10" s="2">
        <f>SUM('石巻第１:石巻第２'!F10)</f>
        <v>5061.547</v>
      </c>
      <c r="G10" s="2">
        <f>SUM('石巻第１:石巻第２'!G10)</f>
        <v>4817.125</v>
      </c>
      <c r="H10" s="2">
        <f>SUM('石巻第１:石巻第２'!H10)</f>
        <v>9287.904</v>
      </c>
      <c r="I10" s="2">
        <f>SUM('石巻第１:石巻第２'!I10)</f>
        <v>310183.125</v>
      </c>
      <c r="J10" s="2">
        <f>SUM('石巻第１:石巻第２'!J10)</f>
        <v>94365.751</v>
      </c>
      <c r="K10" s="2">
        <f>SUM('石巻第１:石巻第２'!K10)</f>
        <v>14576.207</v>
      </c>
      <c r="L10" s="34">
        <f>SUM('石巻第１:石巻第２'!L10)</f>
        <v>5825.612999999999</v>
      </c>
      <c r="M10" s="34">
        <f>SUM('石巻第１:石巻第２'!M10)</f>
        <v>5477.057</v>
      </c>
      <c r="N10" s="34">
        <f>SUM('石巻第１:石巻第２'!N10)</f>
        <v>29287.489999999998</v>
      </c>
      <c r="O10" s="34">
        <f>SUM('石巻第１:石巻第２'!O10)</f>
        <v>43554.287000000004</v>
      </c>
      <c r="P10" s="92">
        <f>SUM('石巻第１:石巻第２'!P10)</f>
        <v>565672.786</v>
      </c>
    </row>
    <row r="11" spans="1:16" ht="19.5" customHeight="1">
      <c r="A11" s="376" t="s">
        <v>198</v>
      </c>
      <c r="B11" s="377"/>
      <c r="C11" s="54" t="s">
        <v>215</v>
      </c>
      <c r="D11" s="1"/>
      <c r="E11" s="1"/>
      <c r="F11" s="1"/>
      <c r="G11" s="1">
        <f>SUM('石巻第１:石巻第２'!G11)</f>
        <v>0.743</v>
      </c>
      <c r="H11" s="1">
        <f>SUM('石巻第１:石巻第２'!H11)</f>
        <v>522.091</v>
      </c>
      <c r="I11" s="1">
        <f>SUM('石巻第１:石巻第２'!I11)</f>
        <v>2687.603</v>
      </c>
      <c r="J11" s="1">
        <f>SUM('石巻第１:石巻第２'!J11)</f>
        <v>4332.591</v>
      </c>
      <c r="K11" s="1">
        <f>SUM('石巻第１:石巻第２'!K11)</f>
        <v>4150.74</v>
      </c>
      <c r="L11" s="1">
        <f>SUM('石巻第１:石巻第２'!L11)</f>
        <v>472.185</v>
      </c>
      <c r="M11" s="1">
        <f>SUM('石巻第１:石巻第２'!M11)</f>
        <v>0.0672</v>
      </c>
      <c r="N11" s="1">
        <f>SUM('石巻第１:石巻第２'!N11)</f>
        <v>0.0442</v>
      </c>
      <c r="O11" s="1"/>
      <c r="P11" s="8">
        <f>SUM('石巻第１:石巻第２'!P11)</f>
        <v>12166.0644</v>
      </c>
    </row>
    <row r="12" spans="1:16" ht="19.5" customHeight="1">
      <c r="A12" s="378"/>
      <c r="B12" s="379"/>
      <c r="C12" s="48" t="s">
        <v>18</v>
      </c>
      <c r="D12" s="2"/>
      <c r="E12" s="2"/>
      <c r="F12" s="2"/>
      <c r="G12" s="2">
        <f>SUM('石巻第１:石巻第２'!G12)</f>
        <v>718.578</v>
      </c>
      <c r="H12" s="2">
        <f>SUM('石巻第１:石巻第２'!H12)</f>
        <v>76649.267</v>
      </c>
      <c r="I12" s="2">
        <f>SUM('石巻第１:石巻第２'!I12)</f>
        <v>400100.071</v>
      </c>
      <c r="J12" s="2">
        <f>SUM('石巻第１:石巻第２'!J12)</f>
        <v>722757.806</v>
      </c>
      <c r="K12" s="2">
        <f>SUM('石巻第１:石巻第２'!K12)</f>
        <v>730486.285</v>
      </c>
      <c r="L12" s="2">
        <f>SUM('石巻第１:石巻第２'!L12)</f>
        <v>80251.483</v>
      </c>
      <c r="M12" s="2">
        <f>SUM('石巻第１:石巻第２'!M12)</f>
        <v>119.946</v>
      </c>
      <c r="N12" s="2">
        <f>SUM('石巻第１:石巻第２'!N12)</f>
        <v>80.136</v>
      </c>
      <c r="O12" s="2"/>
      <c r="P12" s="9">
        <f>SUM('石巻第１:石巻第２'!P12)</f>
        <v>2011163.5720000002</v>
      </c>
    </row>
    <row r="13" spans="1:16" ht="19.5" customHeight="1">
      <c r="A13" s="50"/>
      <c r="B13" s="382" t="s">
        <v>26</v>
      </c>
      <c r="C13" s="54" t="s">
        <v>215</v>
      </c>
      <c r="D13" s="1"/>
      <c r="E13" s="1"/>
      <c r="F13" s="1"/>
      <c r="G13" s="1">
        <f>SUM('石巻第１:石巻第２'!G13)</f>
        <v>1.754</v>
      </c>
      <c r="H13" s="1">
        <f>SUM('石巻第１:石巻第２'!H13)</f>
        <v>36.158</v>
      </c>
      <c r="I13" s="1">
        <f>SUM('石巻第１:石巻第２'!I13)</f>
        <v>11.963</v>
      </c>
      <c r="J13" s="1">
        <f>SUM('石巻第１:石巻第２'!J13)</f>
        <v>0.492</v>
      </c>
      <c r="K13" s="1">
        <f>SUM('石巻第１:石巻第２'!K13)</f>
        <v>0.414</v>
      </c>
      <c r="L13" s="1">
        <f>SUM('石巻第１:石巻第２'!L13)</f>
        <v>0.032</v>
      </c>
      <c r="M13" s="1">
        <f>SUM('石巻第１:石巻第２'!M13)</f>
        <v>0.199</v>
      </c>
      <c r="N13" s="1">
        <f>SUM('石巻第１:石巻第２'!N13)</f>
        <v>0.041</v>
      </c>
      <c r="O13" s="1">
        <f>SUM('石巻第１:石巻第２'!O13)</f>
        <v>0.053</v>
      </c>
      <c r="P13" s="8">
        <f>SUM('石巻第１:石巻第２'!P13)</f>
        <v>51.10599999999999</v>
      </c>
    </row>
    <row r="14" spans="1:16" ht="19.5" customHeight="1">
      <c r="A14" s="44" t="s">
        <v>0</v>
      </c>
      <c r="B14" s="383"/>
      <c r="C14" s="48" t="s">
        <v>18</v>
      </c>
      <c r="D14" s="2"/>
      <c r="E14" s="2"/>
      <c r="F14" s="2"/>
      <c r="G14" s="2">
        <f>SUM('石巻第１:石巻第２'!G14)</f>
        <v>4688.093</v>
      </c>
      <c r="H14" s="2">
        <f>SUM('石巻第１:石巻第２'!H14)</f>
        <v>76615.182</v>
      </c>
      <c r="I14" s="2">
        <f>SUM('石巻第１:石巻第２'!I14)</f>
        <v>19016.475</v>
      </c>
      <c r="J14" s="2">
        <f>SUM('石巻第１:石巻第２'!J14)</f>
        <v>1400.036</v>
      </c>
      <c r="K14" s="2">
        <f>SUM('石巻第１:石巻第２'!K14)</f>
        <v>1388.059</v>
      </c>
      <c r="L14" s="2">
        <f>SUM('石巻第１:石巻第２'!L14)</f>
        <v>22.775</v>
      </c>
      <c r="M14" s="2">
        <f>SUM('石巻第１:石巻第２'!M14)</f>
        <v>539.384</v>
      </c>
      <c r="N14" s="2">
        <f>SUM('石巻第１:石巻第２'!N14)</f>
        <v>143.91</v>
      </c>
      <c r="O14" s="2">
        <f>SUM('石巻第１:石巻第２'!O14)</f>
        <v>157.41</v>
      </c>
      <c r="P14" s="9">
        <f>SUM('石巻第１:石巻第２'!P14)</f>
        <v>103971.324</v>
      </c>
    </row>
    <row r="15" spans="1:16" ht="19.5" customHeight="1">
      <c r="A15" s="45" t="s">
        <v>27</v>
      </c>
      <c r="B15" s="382" t="s">
        <v>28</v>
      </c>
      <c r="C15" s="54" t="s">
        <v>16</v>
      </c>
      <c r="D15" s="1"/>
      <c r="E15" s="1"/>
      <c r="F15" s="1"/>
      <c r="G15" s="1">
        <f>SUM('石巻第１:石巻第２'!G15)</f>
        <v>0.027</v>
      </c>
      <c r="H15" s="1">
        <f>SUM('石巻第１:石巻第２'!H15)</f>
        <v>9.1344</v>
      </c>
      <c r="I15" s="1">
        <f>SUM('石巻第１:石巻第２'!I15)</f>
        <v>27.9694</v>
      </c>
      <c r="J15" s="1">
        <f>SUM('石巻第１:石巻第２'!J15)</f>
        <v>0.1686</v>
      </c>
      <c r="K15" s="1">
        <f>SUM('石巻第１:石巻第２'!K15)</f>
        <v>0.456</v>
      </c>
      <c r="L15" s="1">
        <f>SUM('石巻第１:石巻第２'!L15)</f>
        <v>0.1474</v>
      </c>
      <c r="M15" s="1">
        <f>SUM('石巻第１:石巻第２'!M15)</f>
        <v>0.7903</v>
      </c>
      <c r="N15" s="1">
        <f>SUM('石巻第１:石巻第２'!N15)</f>
        <v>1.096</v>
      </c>
      <c r="O15" s="1">
        <f>SUM('石巻第１:石巻第２'!O15)</f>
        <v>0.176</v>
      </c>
      <c r="P15" s="8">
        <f>SUM('石巻第１:石巻第２'!P15)</f>
        <v>39.96510000000001</v>
      </c>
    </row>
    <row r="16" spans="1:16" ht="19.5" customHeight="1">
      <c r="A16" s="45" t="s">
        <v>0</v>
      </c>
      <c r="B16" s="383"/>
      <c r="C16" s="48" t="s">
        <v>18</v>
      </c>
      <c r="D16" s="2"/>
      <c r="E16" s="2"/>
      <c r="F16" s="2"/>
      <c r="G16" s="2">
        <f>SUM('石巻第１:石巻第２'!G16)</f>
        <v>55.987</v>
      </c>
      <c r="H16" s="2">
        <f>SUM('石巻第１:石巻第２'!H16)</f>
        <v>13466.329</v>
      </c>
      <c r="I16" s="2">
        <f>SUM('石巻第１:石巻第２'!I16)</f>
        <v>29739.075</v>
      </c>
      <c r="J16" s="2">
        <f>SUM('石巻第１:石巻第２'!J16)</f>
        <v>231.046</v>
      </c>
      <c r="K16" s="2">
        <f>SUM('石巻第１:石巻第２'!K16)</f>
        <v>880.556</v>
      </c>
      <c r="L16" s="2">
        <f>SUM('石巻第１:石巻第２'!L16)</f>
        <v>267.196</v>
      </c>
      <c r="M16" s="2">
        <f>SUM('石巻第１:石巻第２'!M16)</f>
        <v>1241.602</v>
      </c>
      <c r="N16" s="2">
        <f>SUM('石巻第１:石巻第２'!N16)</f>
        <v>1548.819</v>
      </c>
      <c r="O16" s="2">
        <f>SUM('石巻第１:石巻第２'!O16)</f>
        <v>583.503</v>
      </c>
      <c r="P16" s="9">
        <f>SUM('石巻第１:石巻第２'!P16)</f>
        <v>48014.113000000005</v>
      </c>
    </row>
    <row r="17" spans="1:16" ht="19.5" customHeight="1">
      <c r="A17" s="45" t="s">
        <v>29</v>
      </c>
      <c r="B17" s="382" t="s">
        <v>30</v>
      </c>
      <c r="C17" s="54" t="s">
        <v>16</v>
      </c>
      <c r="D17" s="1"/>
      <c r="E17" s="1"/>
      <c r="F17" s="1"/>
      <c r="G17" s="1"/>
      <c r="H17" s="1">
        <f>SUM('石巻第１:石巻第２'!H17)</f>
        <v>16.038</v>
      </c>
      <c r="I17" s="1">
        <f>SUM('石巻第１:石巻第２'!I17)</f>
        <v>35.611</v>
      </c>
      <c r="J17" s="1">
        <f>SUM('石巻第１:石巻第２'!J17)</f>
        <v>275.33</v>
      </c>
      <c r="K17" s="1">
        <f>SUM('石巻第１:石巻第２'!K17)</f>
        <v>221.134</v>
      </c>
      <c r="L17" s="1">
        <f>SUM('石巻第１:石巻第２'!L17)</f>
        <v>37.609</v>
      </c>
      <c r="M17" s="1"/>
      <c r="N17" s="1"/>
      <c r="O17" s="1"/>
      <c r="P17" s="8">
        <f>SUM('石巻第１:石巻第２'!P17)</f>
        <v>585.722</v>
      </c>
    </row>
    <row r="18" spans="1:16" ht="19.5" customHeight="1">
      <c r="A18" s="45"/>
      <c r="B18" s="383"/>
      <c r="C18" s="48" t="s">
        <v>18</v>
      </c>
      <c r="D18" s="2"/>
      <c r="E18" s="2"/>
      <c r="F18" s="2"/>
      <c r="G18" s="2"/>
      <c r="H18" s="2">
        <f>SUM('石巻第１:石巻第２'!H18)</f>
        <v>3301.492</v>
      </c>
      <c r="I18" s="2">
        <f>SUM('石巻第１:石巻第２'!I18)</f>
        <v>7963.475</v>
      </c>
      <c r="J18" s="2">
        <f>SUM('石巻第１:石巻第２'!J18)</f>
        <v>59378.621</v>
      </c>
      <c r="K18" s="2">
        <f>SUM('石巻第１:石巻第２'!K18)</f>
        <v>48868.72</v>
      </c>
      <c r="L18" s="2">
        <f>SUM('石巻第１:石巻第２'!L18)</f>
        <v>9288.868</v>
      </c>
      <c r="M18" s="2"/>
      <c r="N18" s="2"/>
      <c r="O18" s="2"/>
      <c r="P18" s="9">
        <f>SUM('石巻第１:石巻第２'!P18)</f>
        <v>128801.176</v>
      </c>
    </row>
    <row r="19" spans="1:16" ht="19.5" customHeight="1">
      <c r="A19" s="45" t="s">
        <v>31</v>
      </c>
      <c r="B19" s="47" t="s">
        <v>108</v>
      </c>
      <c r="C19" s="54" t="s">
        <v>16</v>
      </c>
      <c r="D19" s="1"/>
      <c r="E19" s="1"/>
      <c r="F19" s="1"/>
      <c r="G19" s="1">
        <f>SUM('石巻第１:石巻第２'!G19)</f>
        <v>3.743</v>
      </c>
      <c r="H19" s="1">
        <f>SUM('石巻第１:石巻第２'!H19)</f>
        <v>2.671</v>
      </c>
      <c r="I19" s="1">
        <f>SUM('石巻第１:石巻第２'!I19)</f>
        <v>2.405</v>
      </c>
      <c r="J19" s="1">
        <f>SUM('石巻第１:石巻第２'!J19)</f>
        <v>224.975</v>
      </c>
      <c r="K19" s="1">
        <f>SUM('石巻第１:石巻第２'!K19)</f>
        <v>71.514</v>
      </c>
      <c r="L19" s="1">
        <f>SUM('石巻第１:石巻第２'!L19)</f>
        <v>5.07</v>
      </c>
      <c r="M19" s="1"/>
      <c r="N19" s="1"/>
      <c r="O19" s="1"/>
      <c r="P19" s="8">
        <f>SUM('石巻第１:石巻第２'!P19)</f>
        <v>310.378</v>
      </c>
    </row>
    <row r="20" spans="1:16" ht="19.5" customHeight="1">
      <c r="A20" s="45"/>
      <c r="B20" s="48" t="s">
        <v>109</v>
      </c>
      <c r="C20" s="48" t="s">
        <v>18</v>
      </c>
      <c r="D20" s="2"/>
      <c r="E20" s="2"/>
      <c r="F20" s="2"/>
      <c r="G20" s="2">
        <f>SUM('石巻第１:石巻第２'!G20)</f>
        <v>2597.41</v>
      </c>
      <c r="H20" s="2">
        <f>SUM('石巻第１:石巻第２'!H20)</f>
        <v>874.454</v>
      </c>
      <c r="I20" s="2">
        <f>SUM('石巻第１:石巻第２'!I20)</f>
        <v>678.904</v>
      </c>
      <c r="J20" s="2">
        <f>SUM('石巻第１:石巻第２'!J20)</f>
        <v>54713.759</v>
      </c>
      <c r="K20" s="2">
        <f>SUM('石巻第１:石巻第２'!K20)</f>
        <v>20507.731</v>
      </c>
      <c r="L20" s="2">
        <f>SUM('石巻第１:石巻第２'!L20)</f>
        <v>1327.439</v>
      </c>
      <c r="M20" s="2"/>
      <c r="N20" s="2"/>
      <c r="O20" s="2"/>
      <c r="P20" s="9">
        <f>SUM('石巻第１:石巻第２'!P20)</f>
        <v>80699.697</v>
      </c>
    </row>
    <row r="21" spans="1:16" ht="19.5" customHeight="1">
      <c r="A21" s="45" t="s">
        <v>23</v>
      </c>
      <c r="B21" s="382" t="s">
        <v>32</v>
      </c>
      <c r="C21" s="54" t="s">
        <v>16</v>
      </c>
      <c r="D21" s="1"/>
      <c r="E21" s="1"/>
      <c r="F21" s="1"/>
      <c r="G21" s="1"/>
      <c r="H21" s="1">
        <f>SUM('石巻第１:石巻第２'!H21)</f>
        <v>209.56</v>
      </c>
      <c r="I21" s="1">
        <f>SUM('石巻第１:石巻第２'!I21)</f>
        <v>25.022</v>
      </c>
      <c r="J21" s="1">
        <f>SUM('石巻第１:石巻第２'!J21)</f>
        <v>627.442</v>
      </c>
      <c r="K21" s="1">
        <f>SUM('石巻第１:石巻第２'!K21)</f>
        <v>3.883</v>
      </c>
      <c r="L21" s="1"/>
      <c r="M21" s="1"/>
      <c r="N21" s="1"/>
      <c r="O21" s="1"/>
      <c r="P21" s="8">
        <f>SUM('石巻第１:石巻第２'!P21)</f>
        <v>865.907</v>
      </c>
    </row>
    <row r="22" spans="1:16" ht="19.5" customHeight="1">
      <c r="A22" s="45"/>
      <c r="B22" s="383"/>
      <c r="C22" s="48" t="s">
        <v>18</v>
      </c>
      <c r="D22" s="2"/>
      <c r="E22" s="2"/>
      <c r="F22" s="2"/>
      <c r="G22" s="2"/>
      <c r="H22" s="2">
        <f>SUM('石巻第１:石巻第２'!H22)</f>
        <v>59821.403</v>
      </c>
      <c r="I22" s="2">
        <f>SUM('石巻第１:石巻第２'!I22)</f>
        <v>6370.317</v>
      </c>
      <c r="J22" s="2">
        <f>SUM('石巻第１:石巻第２'!J22)</f>
        <v>167249.933</v>
      </c>
      <c r="K22" s="2">
        <f>SUM('石巻第１:石巻第２'!K22)</f>
        <v>1043.55</v>
      </c>
      <c r="L22" s="2"/>
      <c r="M22" s="2"/>
      <c r="N22" s="2"/>
      <c r="O22" s="2"/>
      <c r="P22" s="9">
        <f>SUM('石巻第１:石巻第２'!P22)</f>
        <v>234485.20299999998</v>
      </c>
    </row>
    <row r="23" spans="1:16" s="38" customFormat="1" ht="19.5" customHeight="1">
      <c r="A23" s="50"/>
      <c r="B23" s="380" t="s">
        <v>114</v>
      </c>
      <c r="C23" s="54" t="s">
        <v>16</v>
      </c>
      <c r="D23" s="1"/>
      <c r="E23" s="1"/>
      <c r="F23" s="1"/>
      <c r="G23" s="1">
        <f>SUM('石巻第１:石巻第２'!G23)</f>
        <v>5.524</v>
      </c>
      <c r="H23" s="1">
        <f>SUM('石巻第１:石巻第２'!H23)</f>
        <v>273.5614</v>
      </c>
      <c r="I23" s="1">
        <f>SUM('石巻第１:石巻第２'!I23)</f>
        <v>102.97039999999998</v>
      </c>
      <c r="J23" s="1">
        <f>SUM('石巻第１:石巻第２'!J23)</f>
        <v>1128.4076</v>
      </c>
      <c r="K23" s="1">
        <f>SUM('石巻第１:石巻第２'!K23)</f>
        <v>297.40099999999995</v>
      </c>
      <c r="L23" s="5">
        <f>SUM('石巻第１:石巻第２'!L23)</f>
        <v>42.8584</v>
      </c>
      <c r="M23" s="5">
        <f>SUM('石巻第１:石巻第２'!M23)</f>
        <v>0.9893000000000001</v>
      </c>
      <c r="N23" s="5">
        <f>SUM('石巻第１:石巻第２'!N23)</f>
        <v>1.137</v>
      </c>
      <c r="O23" s="5">
        <f>SUM('石巻第１:石巻第２'!O23)</f>
        <v>0.22899999999999998</v>
      </c>
      <c r="P23" s="15">
        <f>SUM('石巻第１:石巻第２'!P23)</f>
        <v>1853.0781</v>
      </c>
    </row>
    <row r="24" spans="1:16" s="38" customFormat="1" ht="19.5" customHeight="1">
      <c r="A24" s="49"/>
      <c r="B24" s="381"/>
      <c r="C24" s="48" t="s">
        <v>18</v>
      </c>
      <c r="D24" s="2"/>
      <c r="E24" s="2"/>
      <c r="F24" s="2"/>
      <c r="G24" s="2">
        <f>SUM('石巻第１:石巻第２'!G24)</f>
        <v>7341.49</v>
      </c>
      <c r="H24" s="2">
        <f>SUM('石巻第１:石巻第２'!H24)</f>
        <v>154078.86</v>
      </c>
      <c r="I24" s="2">
        <f>SUM('石巻第１:石巻第２'!I24)</f>
        <v>63768.24600000001</v>
      </c>
      <c r="J24" s="2">
        <f>SUM('石巻第１:石巻第２'!J24)</f>
        <v>282973.395</v>
      </c>
      <c r="K24" s="2">
        <f>SUM('石巻第１:石巻第２'!K24)</f>
        <v>72688.616</v>
      </c>
      <c r="L24" s="34">
        <f>SUM('石巻第１:石巻第２'!L24)</f>
        <v>10906.278</v>
      </c>
      <c r="M24" s="34">
        <f>SUM('石巻第１:石巻第２'!M24)</f>
        <v>1780.986</v>
      </c>
      <c r="N24" s="34">
        <f>SUM('石巻第１:石巻第２'!N24)</f>
        <v>1692.729</v>
      </c>
      <c r="O24" s="34">
        <f>SUM('石巻第１:石巻第２'!O24)</f>
        <v>740.913</v>
      </c>
      <c r="P24" s="92">
        <f>SUM('石巻第１:石巻第２'!P24)</f>
        <v>595971.5130000002</v>
      </c>
    </row>
    <row r="25" spans="1:16" ht="19.5" customHeight="1">
      <c r="A25" s="45" t="s">
        <v>0</v>
      </c>
      <c r="B25" s="382" t="s">
        <v>33</v>
      </c>
      <c r="C25" s="54" t="s">
        <v>16</v>
      </c>
      <c r="D25" s="1"/>
      <c r="E25" s="1"/>
      <c r="F25" s="1"/>
      <c r="G25" s="1"/>
      <c r="H25" s="1"/>
      <c r="I25" s="1"/>
      <c r="J25" s="1"/>
      <c r="K25" s="1"/>
      <c r="L25" s="1">
        <f>SUM('石巻第１:石巻第２'!L25)</f>
        <v>0.091</v>
      </c>
      <c r="M25" s="1"/>
      <c r="N25" s="1"/>
      <c r="O25" s="1"/>
      <c r="P25" s="8">
        <f>SUM('石巻第１:石巻第２'!P25)</f>
        <v>0.091</v>
      </c>
    </row>
    <row r="26" spans="1:16" ht="19.5" customHeight="1">
      <c r="A26" s="45" t="s">
        <v>34</v>
      </c>
      <c r="B26" s="383"/>
      <c r="C26" s="48" t="s">
        <v>18</v>
      </c>
      <c r="D26" s="2"/>
      <c r="E26" s="2"/>
      <c r="F26" s="2"/>
      <c r="G26" s="2"/>
      <c r="H26" s="2"/>
      <c r="I26" s="2"/>
      <c r="J26" s="2"/>
      <c r="K26" s="2"/>
      <c r="L26" s="2">
        <f>SUM('石巻第１:石巻第２'!L26)</f>
        <v>98.28</v>
      </c>
      <c r="M26" s="2"/>
      <c r="N26" s="2"/>
      <c r="O26" s="2"/>
      <c r="P26" s="9">
        <f>SUM('石巻第１:石巻第２'!P26)</f>
        <v>98.28</v>
      </c>
    </row>
    <row r="27" spans="1:16" ht="19.5" customHeight="1">
      <c r="A27" s="45" t="s">
        <v>35</v>
      </c>
      <c r="B27" s="47" t="s">
        <v>20</v>
      </c>
      <c r="C27" s="54" t="s">
        <v>16</v>
      </c>
      <c r="D27" s="1"/>
      <c r="E27" s="1"/>
      <c r="F27" s="1"/>
      <c r="G27" s="1"/>
      <c r="H27" s="1">
        <f>SUM('石巻第１:石巻第２'!H27)</f>
        <v>0.042</v>
      </c>
      <c r="I27" s="1">
        <f>SUM('石巻第１:石巻第２'!I27)</f>
        <v>0.021</v>
      </c>
      <c r="J27" s="1">
        <f>SUM('石巻第１:石巻第２'!J27)</f>
        <v>0.816</v>
      </c>
      <c r="K27" s="1">
        <f>SUM('石巻第１:石巻第２'!K27)</f>
        <v>1.568</v>
      </c>
      <c r="L27" s="1">
        <f>SUM('石巻第１:石巻第２'!L27)</f>
        <v>0.987</v>
      </c>
      <c r="M27" s="1"/>
      <c r="N27" s="1"/>
      <c r="O27" s="1"/>
      <c r="P27" s="8">
        <f>SUM('石巻第１:石巻第２'!P27)</f>
        <v>3.434</v>
      </c>
    </row>
    <row r="28" spans="1:16" ht="19.5" customHeight="1">
      <c r="A28" s="45" t="s">
        <v>36</v>
      </c>
      <c r="B28" s="48" t="s">
        <v>110</v>
      </c>
      <c r="C28" s="48" t="s">
        <v>18</v>
      </c>
      <c r="D28" s="2"/>
      <c r="E28" s="2"/>
      <c r="F28" s="2"/>
      <c r="G28" s="2"/>
      <c r="H28" s="2">
        <f>SUM('石巻第１:石巻第２'!H28)</f>
        <v>1.361</v>
      </c>
      <c r="I28" s="2">
        <f>SUM('石巻第１:石巻第２'!I28)</f>
        <v>0.68</v>
      </c>
      <c r="J28" s="2">
        <f>SUM('石巻第１:石巻第２'!J28)</f>
        <v>40.458</v>
      </c>
      <c r="K28" s="2">
        <f>SUM('石巻第１:石巻第２'!K28)</f>
        <v>289.937</v>
      </c>
      <c r="L28" s="2">
        <f>SUM('石巻第１:石巻第２'!L28)</f>
        <v>34.182</v>
      </c>
      <c r="M28" s="2"/>
      <c r="N28" s="2"/>
      <c r="O28" s="2"/>
      <c r="P28" s="9">
        <f>SUM('石巻第１:石巻第２'!P28)</f>
        <v>366.61800000000005</v>
      </c>
    </row>
    <row r="29" spans="1:16" s="38" customFormat="1" ht="19.5" customHeight="1">
      <c r="A29" s="44" t="s">
        <v>23</v>
      </c>
      <c r="B29" s="380" t="s">
        <v>114</v>
      </c>
      <c r="C29" s="54" t="s">
        <v>16</v>
      </c>
      <c r="D29" s="1"/>
      <c r="E29" s="1"/>
      <c r="F29" s="1"/>
      <c r="G29" s="1"/>
      <c r="H29" s="1">
        <f>SUM('石巻第１:石巻第２'!H29)</f>
        <v>0.042</v>
      </c>
      <c r="I29" s="1">
        <f>SUM('石巻第１:石巻第２'!I29)</f>
        <v>0.021</v>
      </c>
      <c r="J29" s="1">
        <f>SUM('石巻第１:石巻第２'!J29)</f>
        <v>0.816</v>
      </c>
      <c r="K29" s="1">
        <f>SUM('石巻第１:石巻第２'!K29)</f>
        <v>1.568</v>
      </c>
      <c r="L29" s="5">
        <f>SUM('石巻第１:石巻第２'!L29)</f>
        <v>1.078</v>
      </c>
      <c r="M29" s="5"/>
      <c r="N29" s="5"/>
      <c r="O29" s="5"/>
      <c r="P29" s="15">
        <f>SUM('石巻第１:石巻第２'!P29)</f>
        <v>3.5250000000000004</v>
      </c>
    </row>
    <row r="30" spans="1:16" s="38" customFormat="1" ht="19.5" customHeight="1">
      <c r="A30" s="49"/>
      <c r="B30" s="381"/>
      <c r="C30" s="48" t="s">
        <v>18</v>
      </c>
      <c r="D30" s="2"/>
      <c r="E30" s="2"/>
      <c r="F30" s="2"/>
      <c r="G30" s="2"/>
      <c r="H30" s="2">
        <f>SUM('石巻第１:石巻第２'!H30)</f>
        <v>1.361</v>
      </c>
      <c r="I30" s="2">
        <f>SUM('石巻第１:石巻第２'!I30)</f>
        <v>0.68</v>
      </c>
      <c r="J30" s="2">
        <f>SUM('石巻第１:石巻第２'!J30)</f>
        <v>40.458</v>
      </c>
      <c r="K30" s="2">
        <f>SUM('石巻第１:石巻第２'!K30)</f>
        <v>289.937</v>
      </c>
      <c r="L30" s="34">
        <f>SUM('石巻第１:石巻第２'!L30)</f>
        <v>132.462</v>
      </c>
      <c r="M30" s="34"/>
      <c r="N30" s="34"/>
      <c r="O30" s="34"/>
      <c r="P30" s="92">
        <f>SUM('石巻第１:石巻第２'!P30)</f>
        <v>464.898</v>
      </c>
    </row>
    <row r="31" spans="1:16" ht="19.5" customHeight="1">
      <c r="A31" s="45" t="s">
        <v>0</v>
      </c>
      <c r="B31" s="382" t="s">
        <v>37</v>
      </c>
      <c r="C31" s="54" t="s">
        <v>16</v>
      </c>
      <c r="D31" s="1">
        <f>SUM('石巻第１:石巻第２'!D31)</f>
        <v>682.9895</v>
      </c>
      <c r="E31" s="1">
        <f>SUM('石巻第１:石巻第２'!E31)</f>
        <v>295.4618</v>
      </c>
      <c r="F31" s="1">
        <f>SUM('石巻第１:石巻第２'!F31)</f>
        <v>170.8464</v>
      </c>
      <c r="G31" s="1">
        <f>SUM('石巻第１:石巻第２'!G31)</f>
        <v>699.6468</v>
      </c>
      <c r="H31" s="1">
        <f>SUM('石巻第１:石巻第２'!H31)</f>
        <v>795.1002</v>
      </c>
      <c r="I31" s="1">
        <f>SUM('石巻第１:石巻第２'!I31)</f>
        <v>1257.223</v>
      </c>
      <c r="J31" s="1">
        <f>SUM('石巻第１:石巻第２'!J31)</f>
        <v>412.2784</v>
      </c>
      <c r="K31" s="1">
        <f>SUM('石巻第１:石巻第２'!K31)</f>
        <v>511.309</v>
      </c>
      <c r="L31" s="1">
        <f>SUM('石巻第１:石巻第２'!L31)</f>
        <v>808.431</v>
      </c>
      <c r="M31" s="1">
        <f>SUM('石巻第１:石巻第２'!M31)</f>
        <v>405.3924</v>
      </c>
      <c r="N31" s="1">
        <f>SUM('石巻第１:石巻第２'!N31)</f>
        <v>396.7472</v>
      </c>
      <c r="O31" s="1">
        <f>SUM('石巻第１:石巻第２'!O31)</f>
        <v>710.5312</v>
      </c>
      <c r="P31" s="8">
        <f>SUM('石巻第１:石巻第２'!P31)</f>
        <v>7145.956899999999</v>
      </c>
    </row>
    <row r="32" spans="1:16" ht="19.5" customHeight="1">
      <c r="A32" s="45" t="s">
        <v>38</v>
      </c>
      <c r="B32" s="383"/>
      <c r="C32" s="48" t="s">
        <v>18</v>
      </c>
      <c r="D32" s="2">
        <f>SUM('石巻第１:石巻第２'!D32)</f>
        <v>110334.531</v>
      </c>
      <c r="E32" s="2">
        <f>SUM('石巻第１:石巻第２'!E32)</f>
        <v>57239.059</v>
      </c>
      <c r="F32" s="2">
        <f>SUM('石巻第１:石巻第２'!F32)</f>
        <v>36159.945</v>
      </c>
      <c r="G32" s="2">
        <f>SUM('石巻第１:石巻第２'!G32)</f>
        <v>156961.233</v>
      </c>
      <c r="H32" s="2">
        <f>SUM('石巻第１:石巻第２'!H32)</f>
        <v>131489.634</v>
      </c>
      <c r="I32" s="2">
        <f>SUM('石巻第１:石巻第２'!I32)</f>
        <v>161674.442</v>
      </c>
      <c r="J32" s="2">
        <f>SUM('石巻第１:石巻第２'!J32)</f>
        <v>94383.453</v>
      </c>
      <c r="K32" s="2">
        <f>SUM('石巻第１:石巻第２'!K32)</f>
        <v>109779.574</v>
      </c>
      <c r="L32" s="2">
        <f>SUM('石巻第１:石巻第２'!L32)</f>
        <v>148244.839</v>
      </c>
      <c r="M32" s="2">
        <f>SUM('石巻第１:石巻第２'!M32)</f>
        <v>144194.532</v>
      </c>
      <c r="N32" s="2">
        <f>SUM('石巻第１:石巻第２'!N32)</f>
        <v>141066.511</v>
      </c>
      <c r="O32" s="2">
        <f>SUM('石巻第１:石巻第２'!O32)</f>
        <v>297985.756</v>
      </c>
      <c r="P32" s="9">
        <f>SUM('石巻第１:石巻第２'!P32)</f>
        <v>1589513.509</v>
      </c>
    </row>
    <row r="33" spans="1:16" ht="19.5" customHeight="1">
      <c r="A33" s="45" t="s">
        <v>0</v>
      </c>
      <c r="B33" s="382" t="s">
        <v>39</v>
      </c>
      <c r="C33" s="54" t="s">
        <v>16</v>
      </c>
      <c r="D33" s="1">
        <f>SUM('石巻第１:石巻第２'!D33)</f>
        <v>125.7964</v>
      </c>
      <c r="E33" s="1">
        <f>SUM('石巻第１:石巻第２'!E33)</f>
        <v>233.2454</v>
      </c>
      <c r="F33" s="1">
        <f>SUM('石巻第１:石巻第２'!F33)</f>
        <v>468.297</v>
      </c>
      <c r="G33" s="1">
        <f>SUM('石巻第１:石巻第２'!G33)</f>
        <v>1044.91</v>
      </c>
      <c r="H33" s="1">
        <f>SUM('石巻第１:石巻第２'!H33)</f>
        <v>1174.646</v>
      </c>
      <c r="I33" s="1">
        <f>SUM('石巻第１:石巻第２'!I33)</f>
        <v>231.548</v>
      </c>
      <c r="J33" s="1">
        <f>SUM('石巻第１:石巻第２'!J33)</f>
        <v>20.549</v>
      </c>
      <c r="K33" s="1">
        <f>SUM('石巻第１:石巻第２'!K33)</f>
        <v>18.9808</v>
      </c>
      <c r="L33" s="1">
        <f>SUM('石巻第１:石巻第２'!L33)</f>
        <v>10.7652</v>
      </c>
      <c r="M33" s="1">
        <f>SUM('石巻第１:石巻第２'!M33)</f>
        <v>12.6996</v>
      </c>
      <c r="N33" s="1">
        <f>SUM('石巻第１:石巻第２'!N33)</f>
        <v>14.0312</v>
      </c>
      <c r="O33" s="1">
        <f>SUM('石巻第１:石巻第２'!O33)</f>
        <v>75.5968</v>
      </c>
      <c r="P33" s="8">
        <f>SUM('石巻第１:石巻第２'!P33)</f>
        <v>3431.065399999999</v>
      </c>
    </row>
    <row r="34" spans="1:16" ht="19.5" customHeight="1">
      <c r="A34" s="45" t="s">
        <v>40</v>
      </c>
      <c r="B34" s="383"/>
      <c r="C34" s="48" t="s">
        <v>18</v>
      </c>
      <c r="D34" s="2">
        <f>SUM('石巻第１:石巻第２'!D34)</f>
        <v>8854.261</v>
      </c>
      <c r="E34" s="2">
        <f>SUM('石巻第１:石巻第２'!E34)</f>
        <v>17333.042</v>
      </c>
      <c r="F34" s="2">
        <f>SUM('石巻第１:石巻第２'!F34)</f>
        <v>34775.339</v>
      </c>
      <c r="G34" s="2">
        <f>SUM('石巻第１:石巻第２'!G34)</f>
        <v>77272.233</v>
      </c>
      <c r="H34" s="2">
        <f>SUM('石巻第１:石巻第２'!H34)</f>
        <v>82669.006</v>
      </c>
      <c r="I34" s="2">
        <f>SUM('石巻第１:石巻第２'!I34)</f>
        <v>16712.839</v>
      </c>
      <c r="J34" s="2">
        <f>SUM('石巻第１:石巻第２'!J34)</f>
        <v>4022.776</v>
      </c>
      <c r="K34" s="2">
        <f>SUM('石巻第１:石巻第２'!K34)</f>
        <v>2061.745</v>
      </c>
      <c r="L34" s="2">
        <f>SUM('石巻第１:石巻第２'!L34)</f>
        <v>1846.163</v>
      </c>
      <c r="M34" s="2">
        <f>SUM('石巻第１:石巻第２'!M34)</f>
        <v>2827.588</v>
      </c>
      <c r="N34" s="2">
        <f>SUM('石巻第１:石巻第２'!N34)</f>
        <v>3868.076</v>
      </c>
      <c r="O34" s="2">
        <f>SUM('石巻第１:石巻第２'!O34)</f>
        <v>7033.228</v>
      </c>
      <c r="P34" s="9">
        <f>SUM('石巻第１:石巻第２'!P34)</f>
        <v>259276.296</v>
      </c>
    </row>
    <row r="35" spans="1:16" ht="19.5" customHeight="1">
      <c r="A35" s="45"/>
      <c r="B35" s="47" t="s">
        <v>20</v>
      </c>
      <c r="C35" s="54" t="s">
        <v>16</v>
      </c>
      <c r="D35" s="1">
        <f>SUM('石巻第１:石巻第２'!D35)</f>
        <v>754.624</v>
      </c>
      <c r="E35" s="1">
        <f>SUM('石巻第１:石巻第２'!E35)</f>
        <v>855.0702</v>
      </c>
      <c r="F35" s="1">
        <f>SUM('石巻第１:石巻第２'!F35)</f>
        <v>1278.233</v>
      </c>
      <c r="G35" s="1">
        <f>SUM('石巻第１:石巻第２'!G35)</f>
        <v>985.403</v>
      </c>
      <c r="H35" s="1">
        <f>SUM('石巻第１:石巻第２'!H35)</f>
        <v>694.738</v>
      </c>
      <c r="I35" s="1">
        <f>SUM('石巻第１:石巻第２'!I35)</f>
        <v>701.314</v>
      </c>
      <c r="J35" s="1">
        <f>SUM('石巻第１:石巻第２'!J35)</f>
        <v>3.599</v>
      </c>
      <c r="K35" s="1">
        <f>SUM('石巻第１:石巻第２'!K35)</f>
        <v>0.989</v>
      </c>
      <c r="L35" s="1">
        <f>SUM('石巻第１:石巻第２'!L35)</f>
        <v>323.73</v>
      </c>
      <c r="M35" s="1">
        <f>SUM('石巻第１:石巻第２'!M35)</f>
        <v>330.205</v>
      </c>
      <c r="N35" s="1">
        <f>SUM('石巻第１:石巻第２'!N35)</f>
        <v>96.921</v>
      </c>
      <c r="O35" s="1">
        <f>SUM('石巻第１:石巻第２'!O35)</f>
        <v>210.806</v>
      </c>
      <c r="P35" s="8">
        <f>SUM('石巻第１:石巻第２'!P35)</f>
        <v>6235.632200000001</v>
      </c>
    </row>
    <row r="36" spans="1:16" ht="19.5" customHeight="1">
      <c r="A36" s="45" t="s">
        <v>23</v>
      </c>
      <c r="B36" s="48" t="s">
        <v>111</v>
      </c>
      <c r="C36" s="48" t="s">
        <v>18</v>
      </c>
      <c r="D36" s="2">
        <f>SUM('石巻第１:石巻第２'!D36)</f>
        <v>99222.177</v>
      </c>
      <c r="E36" s="2">
        <f>SUM('石巻第１:石巻第２'!E36)</f>
        <v>113372.492</v>
      </c>
      <c r="F36" s="2">
        <f>SUM('石巻第１:石巻第２'!F36)</f>
        <v>196595.264</v>
      </c>
      <c r="G36" s="2">
        <f>SUM('石巻第１:石巻第２'!G36)</f>
        <v>77671.015</v>
      </c>
      <c r="H36" s="2">
        <f>SUM('石巻第１:石巻第２'!H36)</f>
        <v>40844.699</v>
      </c>
      <c r="I36" s="2">
        <f>SUM('石巻第１:石巻第２'!I36)</f>
        <v>39228.951</v>
      </c>
      <c r="J36" s="2">
        <f>SUM('石巻第１:石巻第２'!J36)</f>
        <v>296.412</v>
      </c>
      <c r="K36" s="2">
        <f>SUM('石巻第１:石巻第２'!K36)</f>
        <v>41.927</v>
      </c>
      <c r="L36" s="2">
        <f>SUM('石巻第１:石巻第２'!L36)</f>
        <v>17446.911</v>
      </c>
      <c r="M36" s="2">
        <f>SUM('石巻第１:石巻第２'!M36)</f>
        <v>21409.751</v>
      </c>
      <c r="N36" s="2">
        <f>SUM('石巻第１:石巻第２'!N36)</f>
        <v>7950.938</v>
      </c>
      <c r="O36" s="2">
        <f>SUM('石巻第１:石巻第２'!O36)</f>
        <v>17877.293</v>
      </c>
      <c r="P36" s="9">
        <f>SUM('石巻第１:石巻第２'!P36)</f>
        <v>631957.83</v>
      </c>
    </row>
    <row r="37" spans="1:16" s="38" customFormat="1" ht="19.5" customHeight="1">
      <c r="A37" s="50"/>
      <c r="B37" s="380" t="s">
        <v>107</v>
      </c>
      <c r="C37" s="54" t="s">
        <v>16</v>
      </c>
      <c r="D37" s="1">
        <f>SUM('石巻第１:石巻第２'!D37)</f>
        <v>1563.4099</v>
      </c>
      <c r="E37" s="1">
        <f>SUM('石巻第１:石巻第２'!E37)</f>
        <v>1383.7774</v>
      </c>
      <c r="F37" s="1">
        <f>SUM('石巻第１:石巻第２'!F37)</f>
        <v>1917.3764</v>
      </c>
      <c r="G37" s="1">
        <f>SUM('石巻第１:石巻第２'!G37)</f>
        <v>2729.9598</v>
      </c>
      <c r="H37" s="1">
        <f>SUM('石巻第１:石巻第２'!H37)</f>
        <v>2664.4842</v>
      </c>
      <c r="I37" s="1">
        <f>SUM('石巻第１:石巻第２'!I37)</f>
        <v>2190.085</v>
      </c>
      <c r="J37" s="1">
        <f>SUM('石巻第１:石巻第２'!J37)</f>
        <v>436.42639999999994</v>
      </c>
      <c r="K37" s="1">
        <f>SUM('石巻第１:石巻第２'!K37)</f>
        <v>531.2788</v>
      </c>
      <c r="L37" s="5">
        <f>SUM('石巻第１:石巻第２'!L37)</f>
        <v>1142.9262</v>
      </c>
      <c r="M37" s="5">
        <f>SUM('石巻第１:石巻第２'!M37)</f>
        <v>748.297</v>
      </c>
      <c r="N37" s="5">
        <f>SUM('石巻第１:石巻第２'!N37)</f>
        <v>507.6994</v>
      </c>
      <c r="O37" s="5">
        <f>SUM('石巻第１:石巻第２'!O37)</f>
        <v>996.9340000000001</v>
      </c>
      <c r="P37" s="15">
        <f>SUM('石巻第１:石巻第２'!P37)</f>
        <v>16812.6545</v>
      </c>
    </row>
    <row r="38" spans="1:16" s="38" customFormat="1" ht="19.5" customHeight="1">
      <c r="A38" s="49"/>
      <c r="B38" s="381"/>
      <c r="C38" s="48" t="s">
        <v>18</v>
      </c>
      <c r="D38" s="2">
        <f>SUM('石巻第１:石巻第２'!D38)</f>
        <v>218410.96899999998</v>
      </c>
      <c r="E38" s="2">
        <f>SUM('石巻第１:石巻第２'!E38)</f>
        <v>187944.593</v>
      </c>
      <c r="F38" s="2">
        <f>SUM('石巻第１:石巻第２'!F38)</f>
        <v>267530.548</v>
      </c>
      <c r="G38" s="2">
        <f>SUM('石巻第１:石巻第２'!G38)</f>
        <v>311904.481</v>
      </c>
      <c r="H38" s="2">
        <f>SUM('石巻第１:石巻第２'!H38)</f>
        <v>255003.33899999998</v>
      </c>
      <c r="I38" s="2">
        <f>SUM('石巻第１:石巻第２'!I38)</f>
        <v>217616.23200000002</v>
      </c>
      <c r="J38" s="2">
        <f>SUM('石巻第１:石巻第２'!J38)</f>
        <v>98702.64099999999</v>
      </c>
      <c r="K38" s="2">
        <f>SUM('石巻第１:石巻第２'!K38)</f>
        <v>111883.24599999998</v>
      </c>
      <c r="L38" s="34">
        <f>SUM('石巻第１:石巻第２'!L38)</f>
        <v>167537.913</v>
      </c>
      <c r="M38" s="34">
        <f>SUM('石巻第１:石巻第２'!M38)</f>
        <v>168431.87099999998</v>
      </c>
      <c r="N38" s="34">
        <f>SUM('石巻第１:石巻第２'!N38)</f>
        <v>152885.525</v>
      </c>
      <c r="O38" s="34">
        <f>SUM('石巻第１:石巻第２'!O38)</f>
        <v>322896.277</v>
      </c>
      <c r="P38" s="92">
        <f>SUM('石巻第１:石巻第２'!P38)</f>
        <v>2480747.635</v>
      </c>
    </row>
    <row r="39" spans="1:16" ht="19.5" customHeight="1">
      <c r="A39" s="376" t="s">
        <v>199</v>
      </c>
      <c r="B39" s="377"/>
      <c r="C39" s="54" t="s">
        <v>16</v>
      </c>
      <c r="D39" s="1">
        <f>SUM('石巻第１:石巻第２'!D39)</f>
        <v>16.5446</v>
      </c>
      <c r="E39" s="1">
        <f>SUM('石巻第１:石巻第２'!E39)</f>
        <v>6.704</v>
      </c>
      <c r="F39" s="1"/>
      <c r="G39" s="1"/>
      <c r="H39" s="1">
        <f>SUM('石巻第１:石巻第２'!H39)</f>
        <v>1.2094</v>
      </c>
      <c r="I39" s="1">
        <f>SUM('石巻第１:石巻第２'!I39)</f>
        <v>128.5062</v>
      </c>
      <c r="J39" s="1">
        <f>SUM('石巻第１:石巻第２'!J39)</f>
        <v>70.8202</v>
      </c>
      <c r="K39" s="1">
        <f>SUM('石巻第１:石巻第２'!K39)</f>
        <v>249.6128</v>
      </c>
      <c r="L39" s="1">
        <f>SUM('石巻第１:石巻第２'!L39)</f>
        <v>125.4912</v>
      </c>
      <c r="M39" s="1">
        <f>SUM('石巻第１:石巻第２'!M39)</f>
        <v>28.29</v>
      </c>
      <c r="N39" s="1">
        <f>SUM('石巻第１:石巻第２'!N39)</f>
        <v>19.8418</v>
      </c>
      <c r="O39" s="1">
        <f>SUM('石巻第１:石巻第２'!O39)</f>
        <v>3.8074</v>
      </c>
      <c r="P39" s="8">
        <f>SUM('石巻第１:石巻第２'!P39)</f>
        <v>650.8276000000001</v>
      </c>
    </row>
    <row r="40" spans="1:16" ht="19.5" customHeight="1">
      <c r="A40" s="378"/>
      <c r="B40" s="379"/>
      <c r="C40" s="48" t="s">
        <v>18</v>
      </c>
      <c r="D40" s="2">
        <f>SUM('石巻第１:石巻第２'!D40)</f>
        <v>844.424</v>
      </c>
      <c r="E40" s="2">
        <f>SUM('石巻第１:石巻第２'!E40)</f>
        <v>334.903</v>
      </c>
      <c r="F40" s="2"/>
      <c r="G40" s="2"/>
      <c r="H40" s="2">
        <f>SUM('石巻第１:石巻第２'!H40)</f>
        <v>626.756</v>
      </c>
      <c r="I40" s="2">
        <f>SUM('石巻第１:石巻第２'!I40)</f>
        <v>37878.181</v>
      </c>
      <c r="J40" s="2">
        <f>SUM('石巻第１:石巻第２'!J40)</f>
        <v>37083.762</v>
      </c>
      <c r="K40" s="2">
        <f>SUM('石巻第１:石巻第２'!K40)</f>
        <v>112376.337</v>
      </c>
      <c r="L40" s="2">
        <f>SUM('石巻第１:石巻第２'!L40)</f>
        <v>50641.227</v>
      </c>
      <c r="M40" s="2">
        <f>SUM('石巻第１:石巻第２'!M40)</f>
        <v>13080.664</v>
      </c>
      <c r="N40" s="2">
        <f>SUM('石巻第１:石巻第２'!N40)</f>
        <v>6563.569</v>
      </c>
      <c r="O40" s="2">
        <f>SUM('石巻第１:石巻第２'!O40)</f>
        <v>1964.156</v>
      </c>
      <c r="P40" s="9">
        <f>SUM('石巻第１:石巻第２'!P40)</f>
        <v>261393.979</v>
      </c>
    </row>
    <row r="41" spans="1:16" ht="19.5" customHeight="1">
      <c r="A41" s="376" t="s">
        <v>200</v>
      </c>
      <c r="B41" s="377"/>
      <c r="C41" s="54" t="s">
        <v>16</v>
      </c>
      <c r="D41" s="1">
        <f>SUM('石巻第１:石巻第２'!D41)</f>
        <v>0.0906</v>
      </c>
      <c r="E41" s="1"/>
      <c r="F41" s="1"/>
      <c r="G41" s="1">
        <f>SUM('石巻第１:石巻第２'!G41)</f>
        <v>0.2958</v>
      </c>
      <c r="H41" s="1">
        <f>SUM('石巻第１:石巻第２'!H41)</f>
        <v>55.4652</v>
      </c>
      <c r="I41" s="1">
        <f>SUM('石巻第１:石巻第２'!I41)</f>
        <v>316.4934</v>
      </c>
      <c r="J41" s="1">
        <f>SUM('石巻第１:石巻第２'!J41)</f>
        <v>280.7716</v>
      </c>
      <c r="K41" s="1">
        <f>SUM('石巻第１:石巻第２'!K41)</f>
        <v>88.0274</v>
      </c>
      <c r="L41" s="1">
        <f>SUM('石巻第１:石巻第２'!L41)</f>
        <v>46.0524</v>
      </c>
      <c r="M41" s="1">
        <f>SUM('石巻第１:石巻第２'!M41)</f>
        <v>165.1696</v>
      </c>
      <c r="N41" s="1">
        <f>SUM('石巻第１:石巻第２'!N41)</f>
        <v>326.1362</v>
      </c>
      <c r="O41" s="1">
        <f>SUM('石巻第１:石巻第２'!O41)</f>
        <v>27.5644</v>
      </c>
      <c r="P41" s="8">
        <f>SUM('石巻第１:石巻第２'!P41)</f>
        <v>1306.0665999999999</v>
      </c>
    </row>
    <row r="42" spans="1:16" ht="19.5" customHeight="1">
      <c r="A42" s="378"/>
      <c r="B42" s="379"/>
      <c r="C42" s="48" t="s">
        <v>18</v>
      </c>
      <c r="D42" s="2">
        <f>SUM('石巻第１:石巻第２'!D42)</f>
        <v>29.713</v>
      </c>
      <c r="E42" s="2"/>
      <c r="F42" s="2"/>
      <c r="G42" s="2">
        <f>SUM('石巻第１:石巻第２'!G42)</f>
        <v>260.927</v>
      </c>
      <c r="H42" s="2">
        <f>SUM('石巻第１:石巻第２'!H42)</f>
        <v>12812.812</v>
      </c>
      <c r="I42" s="2">
        <f>SUM('石巻第１:石巻第２'!I42)</f>
        <v>60294.422</v>
      </c>
      <c r="J42" s="2">
        <f>SUM('石巻第１:石巻第２'!J42)</f>
        <v>67300.588</v>
      </c>
      <c r="K42" s="2">
        <f>SUM('石巻第１:石巻第２'!K42)</f>
        <v>27294.409</v>
      </c>
      <c r="L42" s="2">
        <f>SUM('石巻第１:石巻第２'!L42)</f>
        <v>9450.036</v>
      </c>
      <c r="M42" s="2">
        <f>SUM('石巻第１:石巻第２'!M42)</f>
        <v>30315.628</v>
      </c>
      <c r="N42" s="2">
        <f>SUM('石巻第１:石巻第２'!N42)</f>
        <v>66557.417</v>
      </c>
      <c r="O42" s="2">
        <f>SUM('石巻第１:石巻第２'!O42)</f>
        <v>11777.583</v>
      </c>
      <c r="P42" s="9">
        <f>SUM('石巻第１:石巻第２'!P42)</f>
        <v>286093.535</v>
      </c>
    </row>
    <row r="43" spans="1:16" ht="19.5" customHeight="1">
      <c r="A43" s="376" t="s">
        <v>201</v>
      </c>
      <c r="B43" s="377"/>
      <c r="C43" s="54" t="s">
        <v>16</v>
      </c>
      <c r="D43" s="1"/>
      <c r="E43" s="1"/>
      <c r="F43" s="1"/>
      <c r="G43" s="1"/>
      <c r="H43" s="1">
        <f>SUM('石巻第１:石巻第２'!H43)</f>
        <v>0.0044</v>
      </c>
      <c r="I43" s="1"/>
      <c r="J43" s="1"/>
      <c r="K43" s="1"/>
      <c r="L43" s="1"/>
      <c r="M43" s="1"/>
      <c r="N43" s="1"/>
      <c r="O43" s="1"/>
      <c r="P43" s="8">
        <f>SUM('石巻第１:石巻第２'!P43)</f>
        <v>0.0044</v>
      </c>
    </row>
    <row r="44" spans="1:16" ht="19.5" customHeight="1">
      <c r="A44" s="378"/>
      <c r="B44" s="379"/>
      <c r="C44" s="48" t="s">
        <v>18</v>
      </c>
      <c r="D44" s="2"/>
      <c r="E44" s="2"/>
      <c r="F44" s="2"/>
      <c r="G44" s="2"/>
      <c r="H44" s="2">
        <f>SUM('石巻第１:石巻第２'!H44)</f>
        <v>9.504</v>
      </c>
      <c r="I44" s="2"/>
      <c r="J44" s="2"/>
      <c r="K44" s="2"/>
      <c r="L44" s="2"/>
      <c r="M44" s="2"/>
      <c r="N44" s="2"/>
      <c r="O44" s="2"/>
      <c r="P44" s="9">
        <f>SUM('石巻第１:石巻第２'!P44)</f>
        <v>9.504</v>
      </c>
    </row>
    <row r="45" spans="1:16" ht="19.5" customHeight="1">
      <c r="A45" s="376" t="s">
        <v>202</v>
      </c>
      <c r="B45" s="377"/>
      <c r="C45" s="54" t="s">
        <v>16</v>
      </c>
      <c r="D45" s="1">
        <f>SUM('石巻第１:石巻第２'!D45)</f>
        <v>0.0872</v>
      </c>
      <c r="E45" s="1">
        <f>SUM('石巻第１:石巻第２'!E45)</f>
        <v>0.0741</v>
      </c>
      <c r="F45" s="1">
        <f>SUM('石巻第１:石巻第２'!F45)</f>
        <v>0.0096</v>
      </c>
      <c r="G45" s="1">
        <f>SUM('石巻第１:石巻第２'!G45)</f>
        <v>0.0281</v>
      </c>
      <c r="H45" s="1">
        <f>SUM('石巻第１:石巻第２'!H45)</f>
        <v>0.011</v>
      </c>
      <c r="I45" s="1">
        <f>SUM('石巻第１:石巻第２'!I45)</f>
        <v>0.0042</v>
      </c>
      <c r="J45" s="1"/>
      <c r="K45" s="1"/>
      <c r="L45" s="1">
        <f>SUM('石巻第１:石巻第２'!L45)</f>
        <v>0.0014</v>
      </c>
      <c r="M45" s="1">
        <f>SUM('石巻第１:石巻第２'!M45)</f>
        <v>0.0034</v>
      </c>
      <c r="N45" s="1">
        <f>SUM('石巻第１:石巻第２'!N45)</f>
        <v>0.0024</v>
      </c>
      <c r="O45" s="1">
        <f>SUM('石巻第１:石巻第２'!O45)</f>
        <v>0.0018</v>
      </c>
      <c r="P45" s="8">
        <f>SUM('石巻第１:石巻第２'!P45)</f>
        <v>0.22320000000000004</v>
      </c>
    </row>
    <row r="46" spans="1:16" ht="19.5" customHeight="1">
      <c r="A46" s="378"/>
      <c r="B46" s="379"/>
      <c r="C46" s="48" t="s">
        <v>18</v>
      </c>
      <c r="D46" s="2">
        <f>SUM('石巻第１:石巻第２'!D46)</f>
        <v>39.178</v>
      </c>
      <c r="E46" s="2">
        <f>SUM('石巻第１:石巻第２'!E46)</f>
        <v>48.427</v>
      </c>
      <c r="F46" s="2">
        <f>SUM('石巻第１:石巻第２'!F46)</f>
        <v>9.114</v>
      </c>
      <c r="G46" s="2">
        <f>SUM('石巻第１:石巻第２'!G46)</f>
        <v>28.903</v>
      </c>
      <c r="H46" s="2">
        <f>SUM('石巻第１:石巻第２'!H46)</f>
        <v>10.366</v>
      </c>
      <c r="I46" s="2">
        <f>SUM('石巻第１:石巻第２'!I46)</f>
        <v>3.607</v>
      </c>
      <c r="J46" s="2"/>
      <c r="K46" s="2"/>
      <c r="L46" s="2">
        <f>SUM('石巻第１:石巻第２'!L46)</f>
        <v>1.512</v>
      </c>
      <c r="M46" s="2">
        <f>SUM('石巻第１:石巻第２'!M46)</f>
        <v>3.78</v>
      </c>
      <c r="N46" s="2">
        <f>SUM('石巻第１:石巻第２'!N46)</f>
        <v>3.132</v>
      </c>
      <c r="O46" s="2">
        <f>SUM('石巻第１:石巻第２'!O46)</f>
        <v>1.555</v>
      </c>
      <c r="P46" s="9">
        <f>SUM('石巻第１:石巻第２'!P46)</f>
        <v>149.574</v>
      </c>
    </row>
    <row r="47" spans="1:16" ht="19.5" customHeight="1">
      <c r="A47" s="376" t="s">
        <v>203</v>
      </c>
      <c r="B47" s="377"/>
      <c r="C47" s="54" t="s">
        <v>16</v>
      </c>
      <c r="D47" s="1">
        <f>SUM('石巻第１:石巻第２'!D47)</f>
        <v>0.0536</v>
      </c>
      <c r="E47" s="1">
        <f>SUM('石巻第１:石巻第２'!E47)</f>
        <v>0.0376</v>
      </c>
      <c r="F47" s="1">
        <f>SUM('石巻第１:石巻第２'!F47)</f>
        <v>0.0078</v>
      </c>
      <c r="G47" s="1">
        <f>SUM('石巻第１:石巻第２'!G47)</f>
        <v>0.0142</v>
      </c>
      <c r="H47" s="1">
        <f>SUM('石巻第１:石巻第２'!H47)</f>
        <v>0.1114</v>
      </c>
      <c r="I47" s="1">
        <f>SUM('石巻第１:石巻第２'!I47)</f>
        <v>0.0792</v>
      </c>
      <c r="J47" s="1">
        <f>SUM('石巻第１:石巻第２'!J47)</f>
        <v>0.0326</v>
      </c>
      <c r="K47" s="1">
        <f>SUM('石巻第１:石巻第２'!K47)</f>
        <v>0.005</v>
      </c>
      <c r="L47" s="1">
        <f>SUM('石巻第１:石巻第２'!L47)</f>
        <v>0.0348</v>
      </c>
      <c r="M47" s="1">
        <f>SUM('石巻第１:石巻第２'!M47)</f>
        <v>0.0246</v>
      </c>
      <c r="N47" s="1">
        <f>SUM('石巻第１:石巻第２'!N47)</f>
        <v>0.0024</v>
      </c>
      <c r="O47" s="1">
        <f>SUM('石巻第１:石巻第２'!O47)</f>
        <v>0.0158</v>
      </c>
      <c r="P47" s="8">
        <f>SUM('石巻第１:石巻第２'!P47)</f>
        <v>0.41900000000000004</v>
      </c>
    </row>
    <row r="48" spans="1:16" ht="19.5" customHeight="1">
      <c r="A48" s="378"/>
      <c r="B48" s="379"/>
      <c r="C48" s="48" t="s">
        <v>18</v>
      </c>
      <c r="D48" s="2">
        <f>SUM('石巻第１:石巻第２'!D48)</f>
        <v>58.664</v>
      </c>
      <c r="E48" s="2">
        <f>SUM('石巻第１:石巻第２'!E48)</f>
        <v>47.387</v>
      </c>
      <c r="F48" s="2">
        <f>SUM('石巻第１:石巻第２'!F48)</f>
        <v>10.899</v>
      </c>
      <c r="G48" s="2">
        <f>SUM('石巻第１:石巻第２'!G48)</f>
        <v>18.447</v>
      </c>
      <c r="H48" s="2">
        <f>SUM('石巻第１:石巻第２'!H48)</f>
        <v>90.354</v>
      </c>
      <c r="I48" s="2">
        <f>SUM('石巻第１:石巻第２'!I48)</f>
        <v>34.271</v>
      </c>
      <c r="J48" s="2">
        <f>SUM('石巻第１:石巻第２'!J48)</f>
        <v>5.574</v>
      </c>
      <c r="K48" s="2">
        <f>SUM('石巻第１:石巻第２'!K48)</f>
        <v>2.225</v>
      </c>
      <c r="L48" s="2">
        <f>SUM('石巻第１:石巻第２'!L48)</f>
        <v>29.704</v>
      </c>
      <c r="M48" s="2">
        <f>SUM('石巻第１:石巻第２'!M48)</f>
        <v>22.595</v>
      </c>
      <c r="N48" s="2">
        <f>SUM('石巻第１:石巻第２'!N48)</f>
        <v>1.577</v>
      </c>
      <c r="O48" s="2">
        <f>SUM('石巻第１:石巻第２'!O48)</f>
        <v>7.574</v>
      </c>
      <c r="P48" s="9">
        <f>SUM('石巻第１:石巻第２'!P48)</f>
        <v>329.271</v>
      </c>
    </row>
    <row r="49" spans="1:16" ht="19.5" customHeight="1">
      <c r="A49" s="376" t="s">
        <v>204</v>
      </c>
      <c r="B49" s="377"/>
      <c r="C49" s="54" t="s">
        <v>16</v>
      </c>
      <c r="D49" s="1">
        <f>SUM('石巻第１:石巻第２'!D49)</f>
        <v>5977.4968</v>
      </c>
      <c r="E49" s="1">
        <f>SUM('石巻第１:石巻第２'!E49)</f>
        <v>3593.1862</v>
      </c>
      <c r="F49" s="1">
        <f>SUM('石巻第１:石巻第２'!F49)</f>
        <v>940.257</v>
      </c>
      <c r="G49" s="1">
        <f>SUM('石巻第１:石巻第２'!G49)</f>
        <v>184.043</v>
      </c>
      <c r="H49" s="1">
        <f>SUM('石巻第１:石巻第２'!H49)</f>
        <v>1776.4446</v>
      </c>
      <c r="I49" s="1">
        <f>SUM('石巻第１:石巻第２'!I49)</f>
        <v>1155.7136</v>
      </c>
      <c r="J49" s="1">
        <f>SUM('石巻第１:石巻第２'!J49)</f>
        <v>849.3194</v>
      </c>
      <c r="K49" s="1">
        <f>SUM('石巻第１:石巻第２'!K49)</f>
        <v>635.0998</v>
      </c>
      <c r="L49" s="1">
        <f>SUM('石巻第１:石巻第２'!L49)</f>
        <v>1796.3672</v>
      </c>
      <c r="M49" s="1">
        <f>SUM('石巻第１:石巻第２'!M49)</f>
        <v>5414.3638</v>
      </c>
      <c r="N49" s="1">
        <f>SUM('石巻第１:石巻第２'!N49)</f>
        <v>6972.614</v>
      </c>
      <c r="O49" s="1">
        <f>SUM('石巻第１:石巻第２'!O49)</f>
        <v>6437.4584</v>
      </c>
      <c r="P49" s="8">
        <f>SUM('石巻第１:石巻第２'!P49)</f>
        <v>35732.36380000001</v>
      </c>
    </row>
    <row r="50" spans="1:16" ht="19.5" customHeight="1">
      <c r="A50" s="378"/>
      <c r="B50" s="379"/>
      <c r="C50" s="48" t="s">
        <v>18</v>
      </c>
      <c r="D50" s="2">
        <f>SUM('石巻第１:石巻第２'!D50)</f>
        <v>684308.113</v>
      </c>
      <c r="E50" s="2">
        <f>SUM('石巻第１:石巻第２'!E50)</f>
        <v>308535.361</v>
      </c>
      <c r="F50" s="2">
        <f>SUM('石巻第１:石巻第２'!F50)</f>
        <v>79772.144</v>
      </c>
      <c r="G50" s="2">
        <f>SUM('石巻第１:石巻第２'!G50)</f>
        <v>14780.727</v>
      </c>
      <c r="H50" s="2">
        <f>SUM('石巻第１:石巻第２'!H50)</f>
        <v>151621.035</v>
      </c>
      <c r="I50" s="2">
        <f>SUM('石巻第１:石巻第２'!I50)</f>
        <v>91711.543</v>
      </c>
      <c r="J50" s="2">
        <f>SUM('石巻第１:石巻第２'!J50)</f>
        <v>73904.504</v>
      </c>
      <c r="K50" s="2">
        <f>SUM('石巻第１:石巻第２'!K50)</f>
        <v>101523.919</v>
      </c>
      <c r="L50" s="2">
        <f>SUM('石巻第１:石巻第２'!L50)</f>
        <v>171732.062</v>
      </c>
      <c r="M50" s="2">
        <f>SUM('石巻第１:石巻第２'!M50)</f>
        <v>385516.396</v>
      </c>
      <c r="N50" s="2">
        <f>SUM('石巻第１:石巻第２'!N50)</f>
        <v>585063.224</v>
      </c>
      <c r="O50" s="2">
        <f>SUM('石巻第１:石巻第２'!O50)</f>
        <v>572777.138</v>
      </c>
      <c r="P50" s="9">
        <f>SUM('石巻第１:石巻第２'!P50)</f>
        <v>3221246.166</v>
      </c>
    </row>
    <row r="51" spans="1:16" ht="19.5" customHeight="1">
      <c r="A51" s="376" t="s">
        <v>205</v>
      </c>
      <c r="B51" s="377"/>
      <c r="C51" s="54" t="s">
        <v>16</v>
      </c>
      <c r="D51" s="1"/>
      <c r="E51" s="1"/>
      <c r="F51" s="1"/>
      <c r="G51" s="1"/>
      <c r="H51" s="1"/>
      <c r="I51" s="1">
        <f>SUM('石巻第１:石巻第２'!I51)</f>
        <v>0.364</v>
      </c>
      <c r="J51" s="1"/>
      <c r="K51" s="1"/>
      <c r="L51" s="1">
        <f>SUM('石巻第１:石巻第２'!L51)</f>
        <v>19.796</v>
      </c>
      <c r="M51" s="1">
        <f>SUM('石巻第１:石巻第２'!M51)</f>
        <v>8.704</v>
      </c>
      <c r="N51" s="1">
        <f>SUM('石巻第１:石巻第２'!N51)</f>
        <v>1.832</v>
      </c>
      <c r="O51" s="1"/>
      <c r="P51" s="8">
        <f>SUM('石巻第１:石巻第２'!P51)</f>
        <v>30.696</v>
      </c>
    </row>
    <row r="52" spans="1:16" ht="19.5" customHeight="1">
      <c r="A52" s="378"/>
      <c r="B52" s="379"/>
      <c r="C52" s="48" t="s">
        <v>18</v>
      </c>
      <c r="D52" s="2"/>
      <c r="E52" s="2"/>
      <c r="F52" s="2"/>
      <c r="G52" s="2"/>
      <c r="H52" s="2"/>
      <c r="I52" s="2">
        <f>SUM('石巻第１:石巻第２'!I52)</f>
        <v>62.508</v>
      </c>
      <c r="J52" s="2"/>
      <c r="K52" s="2"/>
      <c r="L52" s="2">
        <f>SUM('石巻第１:石巻第２'!L52)</f>
        <v>9615.632</v>
      </c>
      <c r="M52" s="2">
        <f>SUM('石巻第１:石巻第２'!M52)</f>
        <v>3415.74</v>
      </c>
      <c r="N52" s="2">
        <f>SUM('石巻第１:石巻第２'!N52)</f>
        <v>684.68</v>
      </c>
      <c r="O52" s="2"/>
      <c r="P52" s="9">
        <f>SUM('石巻第１:石巻第２'!P52)</f>
        <v>13778.56</v>
      </c>
    </row>
    <row r="53" spans="1:16" ht="19.5" customHeight="1">
      <c r="A53" s="376" t="s">
        <v>216</v>
      </c>
      <c r="B53" s="377"/>
      <c r="C53" s="54" t="s">
        <v>16</v>
      </c>
      <c r="D53" s="1">
        <f>SUM('石巻第１:石巻第２'!D53)</f>
        <v>0.031</v>
      </c>
      <c r="E53" s="1">
        <f>SUM('石巻第１:石巻第２'!E53)</f>
        <v>0.1496</v>
      </c>
      <c r="F53" s="1">
        <f>SUM('石巻第１:石巻第２'!F53)</f>
        <v>4.4455</v>
      </c>
      <c r="G53" s="1">
        <f>SUM('石巻第１:石巻第２'!G53)</f>
        <v>13.2464</v>
      </c>
      <c r="H53" s="1">
        <f>SUM('石巻第１:石巻第２'!H53)</f>
        <v>10.7856</v>
      </c>
      <c r="I53" s="1">
        <f>SUM('石巻第１:石巻第２'!I53)</f>
        <v>0.938</v>
      </c>
      <c r="J53" s="1">
        <f>SUM('石巻第１:石巻第２'!J53)</f>
        <v>0.508</v>
      </c>
      <c r="K53" s="1">
        <f>SUM('石巻第１:石巻第２'!K53)</f>
        <v>0.1182</v>
      </c>
      <c r="L53" s="1">
        <f>SUM('石巻第１:石巻第２'!L53)</f>
        <v>229.3208</v>
      </c>
      <c r="M53" s="1">
        <f>SUM('石巻第１:石巻第２'!M53)</f>
        <v>1278.1199</v>
      </c>
      <c r="N53" s="1">
        <f>SUM('石巻第１:石巻第２'!N53)</f>
        <v>556.6394</v>
      </c>
      <c r="O53" s="1">
        <f>SUM('石巻第１:石巻第２'!O53)</f>
        <v>39.048</v>
      </c>
      <c r="P53" s="8">
        <f>SUM('石巻第１:石巻第２'!P53)</f>
        <v>2133.3504000000003</v>
      </c>
    </row>
    <row r="54" spans="1:16" ht="19.5" customHeight="1">
      <c r="A54" s="378"/>
      <c r="B54" s="379"/>
      <c r="C54" s="48" t="s">
        <v>18</v>
      </c>
      <c r="D54" s="2">
        <f>SUM('石巻第１:石巻第２'!D54)</f>
        <v>17.441</v>
      </c>
      <c r="E54" s="2">
        <f>SUM('石巻第１:石巻第２'!E54)</f>
        <v>117.688</v>
      </c>
      <c r="F54" s="2">
        <f>SUM('石巻第１:石巻第２'!F54)</f>
        <v>3982.009</v>
      </c>
      <c r="G54" s="2">
        <f>SUM('石巻第１:石巻第２'!G54)</f>
        <v>14352.646</v>
      </c>
      <c r="H54" s="2">
        <f>SUM('石巻第１:石巻第２'!H54)</f>
        <v>7679.812</v>
      </c>
      <c r="I54" s="2">
        <f>SUM('石巻第１:石巻第２'!I54)</f>
        <v>807.909</v>
      </c>
      <c r="J54" s="2">
        <f>SUM('石巻第１:石巻第２'!J54)</f>
        <v>547.828</v>
      </c>
      <c r="K54" s="2">
        <f>SUM('石巻第１:石巻第２'!K54)</f>
        <v>84.624</v>
      </c>
      <c r="L54" s="2">
        <f>SUM('石巻第１:石巻第２'!L54)</f>
        <v>84581.76</v>
      </c>
      <c r="M54" s="2">
        <f>SUM('石巻第１:石巻第２'!M54)</f>
        <v>589443.945</v>
      </c>
      <c r="N54" s="2">
        <f>SUM('石巻第１:石巻第２'!N54)</f>
        <v>268908.447</v>
      </c>
      <c r="O54" s="2">
        <f>SUM('石巻第１:石巻第２'!O54)</f>
        <v>18347.796</v>
      </c>
      <c r="P54" s="9">
        <f>SUM('石巻第１:石巻第２'!P54)</f>
        <v>988871.9049999999</v>
      </c>
    </row>
    <row r="55" spans="1:16" ht="19.5" customHeight="1">
      <c r="A55" s="44" t="s">
        <v>0</v>
      </c>
      <c r="B55" s="382" t="s">
        <v>132</v>
      </c>
      <c r="C55" s="54" t="s">
        <v>16</v>
      </c>
      <c r="D55" s="1">
        <f>SUM('石巻第１:石巻第２'!D55)</f>
        <v>0.0296</v>
      </c>
      <c r="E55" s="1">
        <f>SUM('石巻第１:石巻第２'!E55)</f>
        <v>0.0022</v>
      </c>
      <c r="F55" s="1">
        <f>SUM('石巻第１:石巻第２'!F55)</f>
        <v>0.0012</v>
      </c>
      <c r="G55" s="1">
        <f>SUM('石巻第１:石巻第２'!G55)</f>
        <v>0.2408</v>
      </c>
      <c r="H55" s="1">
        <f>SUM('石巻第１:石巻第２'!H55)</f>
        <v>6.6018</v>
      </c>
      <c r="I55" s="1">
        <f>SUM('石巻第１:石巻第２'!I55)</f>
        <v>23.5475</v>
      </c>
      <c r="J55" s="1">
        <f>SUM('石巻第１:石巻第２'!J55)</f>
        <v>27.825</v>
      </c>
      <c r="K55" s="1">
        <f>SUM('石巻第１:石巻第２'!K55)</f>
        <v>74.167</v>
      </c>
      <c r="L55" s="1">
        <f>SUM('石巻第１:石巻第２'!L55)</f>
        <v>52.8604</v>
      </c>
      <c r="M55" s="1">
        <f>SUM('石巻第１:石巻第２'!M55)</f>
        <v>19.847</v>
      </c>
      <c r="N55" s="1">
        <f>SUM('石巻第１:石巻第２'!N55)</f>
        <v>8.328</v>
      </c>
      <c r="O55" s="1">
        <f>SUM('石巻第１:石巻第２'!O55)</f>
        <v>1.0964</v>
      </c>
      <c r="P55" s="8">
        <f>SUM('石巻第１:石巻第２'!P55)</f>
        <v>214.5469</v>
      </c>
    </row>
    <row r="56" spans="1:16" ht="19.5" customHeight="1">
      <c r="A56" s="45" t="s">
        <v>38</v>
      </c>
      <c r="B56" s="383"/>
      <c r="C56" s="48" t="s">
        <v>18</v>
      </c>
      <c r="D56" s="2">
        <f>SUM('石巻第１:石巻第２'!D56)</f>
        <v>19.374</v>
      </c>
      <c r="E56" s="2">
        <f>SUM('石巻第１:石巻第２'!E56)</f>
        <v>0.483</v>
      </c>
      <c r="F56" s="2">
        <f>SUM('石巻第１:石巻第２'!F56)</f>
        <v>0.41</v>
      </c>
      <c r="G56" s="2">
        <f>SUM('石巻第１:石巻第２'!G56)</f>
        <v>240.023</v>
      </c>
      <c r="H56" s="2">
        <f>SUM('石巻第１:石巻第２'!H56)</f>
        <v>7083.912</v>
      </c>
      <c r="I56" s="2">
        <f>SUM('石巻第１:石巻第２'!I56)</f>
        <v>16496.132</v>
      </c>
      <c r="J56" s="2">
        <f>SUM('石巻第１:石巻第２'!J56)</f>
        <v>14253.332</v>
      </c>
      <c r="K56" s="2">
        <f>SUM('石巻第１:石巻第２'!K56)</f>
        <v>40819.993</v>
      </c>
      <c r="L56" s="2">
        <f>SUM('石巻第１:石巻第２'!L56)</f>
        <v>18785.056</v>
      </c>
      <c r="M56" s="2">
        <f>SUM('石巻第１:石巻第２'!M56)</f>
        <v>10366.463</v>
      </c>
      <c r="N56" s="2">
        <f>SUM('石巻第１:石巻第２'!N56)</f>
        <v>4652.835</v>
      </c>
      <c r="O56" s="2">
        <f>SUM('石巻第１:石巻第２'!O56)</f>
        <v>866.079</v>
      </c>
      <c r="P56" s="9">
        <f>SUM('石巻第１:石巻第２'!P56)</f>
        <v>113584.09200000002</v>
      </c>
    </row>
    <row r="57" spans="1:16" ht="19.5" customHeight="1">
      <c r="A57" s="45" t="s">
        <v>17</v>
      </c>
      <c r="B57" s="47" t="s">
        <v>20</v>
      </c>
      <c r="C57" s="54" t="s">
        <v>16</v>
      </c>
      <c r="D57" s="1"/>
      <c r="E57" s="1"/>
      <c r="F57" s="1"/>
      <c r="G57" s="1">
        <f>SUM('石巻第１:石巻第２'!G57)</f>
        <v>0.0072</v>
      </c>
      <c r="H57" s="1">
        <f>SUM('石巻第１:石巻第２'!H57)</f>
        <v>0.0988</v>
      </c>
      <c r="I57" s="1">
        <f>SUM('石巻第１:石巻第２'!I57)</f>
        <v>0.1008</v>
      </c>
      <c r="J57" s="1">
        <f>SUM('石巻第１:石巻第２'!J57)</f>
        <v>0.144</v>
      </c>
      <c r="K57" s="1">
        <f>SUM('石巻第１:石巻第２'!K57)</f>
        <v>0.5318</v>
      </c>
      <c r="L57" s="1">
        <f>SUM('石巻第１:石巻第２'!L57)</f>
        <v>1.9964</v>
      </c>
      <c r="M57" s="1">
        <f>SUM('石巻第１:石巻第２'!M57)</f>
        <v>0.1426</v>
      </c>
      <c r="N57" s="1">
        <f>SUM('石巻第１:石巻第２'!N57)</f>
        <v>0.0008</v>
      </c>
      <c r="O57" s="1"/>
      <c r="P57" s="8">
        <f>SUM('石巻第１:石巻第２'!P57)</f>
        <v>3.0223999999999998</v>
      </c>
    </row>
    <row r="58" spans="1:16" ht="19.5" customHeight="1">
      <c r="A58" s="45" t="s">
        <v>23</v>
      </c>
      <c r="B58" s="48" t="s">
        <v>113</v>
      </c>
      <c r="C58" s="48" t="s">
        <v>18</v>
      </c>
      <c r="D58" s="2"/>
      <c r="E58" s="2"/>
      <c r="F58" s="2"/>
      <c r="G58" s="2">
        <f>SUM('石巻第１:石巻第２'!G58)</f>
        <v>21.232</v>
      </c>
      <c r="H58" s="2">
        <f>SUM('石巻第１:石巻第２'!H58)</f>
        <v>199.954</v>
      </c>
      <c r="I58" s="2">
        <f>SUM('石巻第１:石巻第２'!I58)</f>
        <v>184.564</v>
      </c>
      <c r="J58" s="2">
        <f>SUM('石巻第１:石巻第２'!J58)</f>
        <v>201.569</v>
      </c>
      <c r="K58" s="2">
        <f>SUM('石巻第１:石巻第２'!K58)</f>
        <v>658.395</v>
      </c>
      <c r="L58" s="2">
        <f>SUM('石巻第１:石巻第２'!L58)</f>
        <v>1240.725</v>
      </c>
      <c r="M58" s="2">
        <f>SUM('石巻第１:石巻第２'!M58)</f>
        <v>26.737</v>
      </c>
      <c r="N58" s="2">
        <f>SUM('石巻第１:石巻第２'!N58)</f>
        <v>2.851</v>
      </c>
      <c r="O58" s="2"/>
      <c r="P58" s="9">
        <f>SUM('石巻第１:石巻第２'!P58)</f>
        <v>2536.027</v>
      </c>
    </row>
    <row r="59" spans="1:16" s="38" customFormat="1" ht="19.5" customHeight="1">
      <c r="A59" s="50"/>
      <c r="B59" s="380" t="s">
        <v>107</v>
      </c>
      <c r="C59" s="54" t="s">
        <v>16</v>
      </c>
      <c r="D59" s="1">
        <f>SUM('石巻第１:石巻第２'!D59)</f>
        <v>0.0296</v>
      </c>
      <c r="E59" s="1">
        <f>SUM('石巻第１:石巻第２'!E59)</f>
        <v>0.0022</v>
      </c>
      <c r="F59" s="1">
        <f>SUM('石巻第１:石巻第２'!F59)</f>
        <v>0.0012</v>
      </c>
      <c r="G59" s="1">
        <f>SUM('石巻第１:石巻第２'!G59)</f>
        <v>0.248</v>
      </c>
      <c r="H59" s="1">
        <f>SUM('石巻第１:石巻第２'!H59)</f>
        <v>6.7006</v>
      </c>
      <c r="I59" s="1">
        <f>SUM('石巻第１:石巻第２'!I59)</f>
        <v>23.6483</v>
      </c>
      <c r="J59" s="1">
        <f>SUM('石巻第１:石巻第２'!J59)</f>
        <v>27.968999999999998</v>
      </c>
      <c r="K59" s="1">
        <f>SUM('石巻第１:石巻第２'!K59)</f>
        <v>74.6988</v>
      </c>
      <c r="L59" s="5">
        <f>SUM('石巻第１:石巻第２'!L59)</f>
        <v>54.8568</v>
      </c>
      <c r="M59" s="5">
        <f>SUM('石巻第１:石巻第２'!M59)</f>
        <v>19.989600000000003</v>
      </c>
      <c r="N59" s="5">
        <f>SUM('石巻第１:石巻第２'!N59)</f>
        <v>8.3288</v>
      </c>
      <c r="O59" s="5">
        <f>SUM('石巻第１:石巻第２'!O59)</f>
        <v>1.0964</v>
      </c>
      <c r="P59" s="15">
        <f>SUM('石巻第１:石巻第２'!P59)</f>
        <v>217.5693</v>
      </c>
    </row>
    <row r="60" spans="1:16" s="38" customFormat="1" ht="19.5" customHeight="1">
      <c r="A60" s="49"/>
      <c r="B60" s="381"/>
      <c r="C60" s="48" t="s">
        <v>18</v>
      </c>
      <c r="D60" s="2">
        <f>SUM('石巻第１:石巻第２'!D60)</f>
        <v>19.374</v>
      </c>
      <c r="E60" s="2">
        <f>SUM('石巻第１:石巻第２'!E60)</f>
        <v>0.483</v>
      </c>
      <c r="F60" s="2">
        <f>SUM('石巻第１:石巻第２'!F60)</f>
        <v>0.41</v>
      </c>
      <c r="G60" s="2">
        <f>SUM('石巻第１:石巻第２'!G60)</f>
        <v>261.255</v>
      </c>
      <c r="H60" s="2">
        <f>SUM('石巻第１:石巻第２'!H60)</f>
        <v>7283.866</v>
      </c>
      <c r="I60" s="2">
        <f>SUM('石巻第１:石巻第２'!I60)</f>
        <v>16680.696</v>
      </c>
      <c r="J60" s="2">
        <f>SUM('石巻第１:石巻第２'!J60)</f>
        <v>14454.901</v>
      </c>
      <c r="K60" s="2">
        <f>SUM('石巻第１:石巻第２'!K60)</f>
        <v>41478.388</v>
      </c>
      <c r="L60" s="34">
        <f>SUM('石巻第１:石巻第２'!L60)</f>
        <v>20025.781</v>
      </c>
      <c r="M60" s="34">
        <f>SUM('石巻第１:石巻第２'!M60)</f>
        <v>10393.199999999999</v>
      </c>
      <c r="N60" s="34">
        <f>SUM('石巻第１:石巻第２'!N60)</f>
        <v>4655.686</v>
      </c>
      <c r="O60" s="34">
        <f>SUM('石巻第１:石巻第２'!O60)</f>
        <v>866.079</v>
      </c>
      <c r="P60" s="92">
        <f>SUM('石巻第１:石巻第２'!P60)</f>
        <v>116120.11899999999</v>
      </c>
    </row>
    <row r="61" spans="1:16" ht="19.5" customHeight="1">
      <c r="A61" s="45" t="s">
        <v>0</v>
      </c>
      <c r="B61" s="382" t="s">
        <v>115</v>
      </c>
      <c r="C61" s="54" t="s">
        <v>16</v>
      </c>
      <c r="D61" s="1">
        <f>SUM('石巻第１:石巻第２'!D61)</f>
        <v>33.6114</v>
      </c>
      <c r="E61" s="1">
        <f>SUM('石巻第１:石巻第２'!E61)</f>
        <v>7.563</v>
      </c>
      <c r="F61" s="1">
        <f>SUM('石巻第１:石巻第２'!F61)</f>
        <v>7.766</v>
      </c>
      <c r="G61" s="1">
        <f>SUM('石巻第１:石巻第２'!G61)</f>
        <v>16.3944</v>
      </c>
      <c r="H61" s="1">
        <f>SUM('石巻第１:石巻第２'!H61)</f>
        <v>1.8474</v>
      </c>
      <c r="I61" s="1">
        <f>SUM('石巻第１:石巻第２'!I61)</f>
        <v>1.092</v>
      </c>
      <c r="J61" s="1">
        <f>SUM('石巻第１:石巻第２'!J61)</f>
        <v>0.065</v>
      </c>
      <c r="K61" s="1">
        <f>SUM('石巻第１:石巻第２'!K61)</f>
        <v>0.1294</v>
      </c>
      <c r="L61" s="1">
        <f>SUM('石巻第１:石巻第２'!L61)</f>
        <v>9.875</v>
      </c>
      <c r="M61" s="1">
        <f>SUM('石巻第１:石巻第２'!M61)</f>
        <v>2.8054</v>
      </c>
      <c r="N61" s="1">
        <f>SUM('石巻第１:石巻第２'!N61)</f>
        <v>28.0874</v>
      </c>
      <c r="O61" s="1">
        <f>SUM('石巻第１:石巻第２'!O61)</f>
        <v>10.926</v>
      </c>
      <c r="P61" s="8">
        <f>SUM('石巻第１:石巻第２'!P61)</f>
        <v>120.1624</v>
      </c>
    </row>
    <row r="62" spans="1:16" ht="19.5" customHeight="1">
      <c r="A62" s="45" t="s">
        <v>49</v>
      </c>
      <c r="B62" s="383"/>
      <c r="C62" s="48" t="s">
        <v>18</v>
      </c>
      <c r="D62" s="2">
        <f>SUM('石巻第１:石巻第２'!D62)</f>
        <v>1366.055</v>
      </c>
      <c r="E62" s="2">
        <f>SUM('石巻第１:石巻第２'!E62)</f>
        <v>258.373</v>
      </c>
      <c r="F62" s="2">
        <f>SUM('石巻第１:石巻第２'!F62)</f>
        <v>223.348</v>
      </c>
      <c r="G62" s="2">
        <f>SUM('石巻第１:石巻第２'!G62)</f>
        <v>566.575</v>
      </c>
      <c r="H62" s="2">
        <f>SUM('石巻第１:石巻第２'!H62)</f>
        <v>52.571</v>
      </c>
      <c r="I62" s="2">
        <f>SUM('石巻第１:石巻第２'!I62)</f>
        <v>28.324</v>
      </c>
      <c r="J62" s="2">
        <f>SUM('石巻第１:石巻第２'!J62)</f>
        <v>1.955</v>
      </c>
      <c r="K62" s="2">
        <f>SUM('石巻第１:石巻第２'!K62)</f>
        <v>3.445</v>
      </c>
      <c r="L62" s="2">
        <f>SUM('石巻第１:石巻第２'!L62)</f>
        <v>337.224</v>
      </c>
      <c r="M62" s="2">
        <f>SUM('石巻第１:石巻第２'!M62)</f>
        <v>152.158</v>
      </c>
      <c r="N62" s="2">
        <f>SUM('石巻第１:石巻第２'!N62)</f>
        <v>1251.762</v>
      </c>
      <c r="O62" s="2">
        <f>SUM('石巻第１:石巻第２'!O62)</f>
        <v>1667.734</v>
      </c>
      <c r="P62" s="9">
        <f>SUM('石巻第１:石巻第２'!P62)</f>
        <v>5909.523999999999</v>
      </c>
    </row>
    <row r="63" spans="1:16" ht="19.5" customHeight="1">
      <c r="A63" s="45" t="s">
        <v>0</v>
      </c>
      <c r="B63" s="47" t="s">
        <v>50</v>
      </c>
      <c r="C63" s="54" t="s">
        <v>16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8"/>
    </row>
    <row r="64" spans="1:16" ht="19.5" customHeight="1">
      <c r="A64" s="45" t="s">
        <v>51</v>
      </c>
      <c r="B64" s="48" t="s">
        <v>116</v>
      </c>
      <c r="C64" s="48" t="s">
        <v>18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</row>
    <row r="65" spans="1:16" ht="19.5" customHeight="1">
      <c r="A65" s="45" t="s">
        <v>0</v>
      </c>
      <c r="B65" s="382" t="s">
        <v>53</v>
      </c>
      <c r="C65" s="54" t="s">
        <v>16</v>
      </c>
      <c r="D65" s="1">
        <f>SUM('石巻第１:石巻第２'!D65)</f>
        <v>0.081</v>
      </c>
      <c r="E65" s="1">
        <f>SUM('石巻第１:石巻第２'!E65)</f>
        <v>0.01</v>
      </c>
      <c r="F65" s="1">
        <f>SUM('石巻第１:石巻第２'!F65)</f>
        <v>0.112</v>
      </c>
      <c r="G65" s="1">
        <f>SUM('石巻第１:石巻第２'!G65)</f>
        <v>0.105</v>
      </c>
      <c r="H65" s="1"/>
      <c r="I65" s="1"/>
      <c r="J65" s="1">
        <f>SUM('石巻第１:石巻第２'!J65)</f>
        <v>0.02</v>
      </c>
      <c r="K65" s="1"/>
      <c r="L65" s="1"/>
      <c r="M65" s="1"/>
      <c r="N65" s="1"/>
      <c r="O65" s="1">
        <f>SUM('石巻第１:石巻第２'!O65)</f>
        <v>0.08</v>
      </c>
      <c r="P65" s="8">
        <f>SUM('石巻第１:石巻第２'!P65)</f>
        <v>0.40800000000000003</v>
      </c>
    </row>
    <row r="66" spans="1:16" ht="19.5" customHeight="1">
      <c r="A66" s="45" t="s">
        <v>23</v>
      </c>
      <c r="B66" s="383"/>
      <c r="C66" s="48" t="s">
        <v>18</v>
      </c>
      <c r="D66" s="2">
        <f>SUM('石巻第１:石巻第２'!D66)</f>
        <v>11.34</v>
      </c>
      <c r="E66" s="2">
        <f>SUM('石巻第１:石巻第２'!E66)</f>
        <v>2.625</v>
      </c>
      <c r="F66" s="2">
        <f>SUM('石巻第１:石巻第２'!F66)</f>
        <v>23.625</v>
      </c>
      <c r="G66" s="2">
        <f>SUM('石巻第１:石巻第２'!G66)</f>
        <v>11.88</v>
      </c>
      <c r="H66" s="2"/>
      <c r="I66" s="2"/>
      <c r="J66" s="2">
        <f>SUM('石巻第１:石巻第２'!J66)</f>
        <v>1.62</v>
      </c>
      <c r="K66" s="2"/>
      <c r="L66" s="2"/>
      <c r="M66" s="2"/>
      <c r="N66" s="2"/>
      <c r="O66" s="2">
        <f>SUM('石巻第１:石巻第２'!O66)</f>
        <v>8.64</v>
      </c>
      <c r="P66" s="9">
        <f>SUM('石巻第１:石巻第２'!P66)</f>
        <v>59.730000000000004</v>
      </c>
    </row>
    <row r="67" spans="1:16" ht="19.5" customHeight="1">
      <c r="A67" s="45"/>
      <c r="B67" s="47" t="s">
        <v>20</v>
      </c>
      <c r="C67" s="54" t="s">
        <v>16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8"/>
    </row>
    <row r="68" spans="1:16" ht="19.5" customHeight="1" thickBot="1">
      <c r="A68" s="51" t="s">
        <v>0</v>
      </c>
      <c r="B68" s="52" t="s">
        <v>116</v>
      </c>
      <c r="C68" s="52" t="s">
        <v>18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0"/>
    </row>
    <row r="69" spans="9:16" ht="19.5" customHeight="1">
      <c r="I69" s="11" t="s">
        <v>83</v>
      </c>
      <c r="P69" s="11"/>
    </row>
    <row r="70" ht="19.5" customHeight="1">
      <c r="P70" s="11"/>
    </row>
    <row r="71" ht="19.5" customHeight="1">
      <c r="P71" s="11"/>
    </row>
    <row r="72" ht="19.5" customHeight="1">
      <c r="P72" s="11"/>
    </row>
    <row r="73" ht="19.5" customHeight="1">
      <c r="P73" s="11"/>
    </row>
    <row r="74" spans="1:16" ht="19.5" customHeight="1" thickBot="1">
      <c r="A74" s="12" t="s">
        <v>88</v>
      </c>
      <c r="B74" s="3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 t="s">
        <v>146</v>
      </c>
      <c r="P74" s="12"/>
    </row>
    <row r="75" spans="1:16" ht="19.5" customHeight="1">
      <c r="A75" s="49"/>
      <c r="B75" s="53"/>
      <c r="C75" s="53"/>
      <c r="D75" s="42" t="s">
        <v>2</v>
      </c>
      <c r="E75" s="42" t="s">
        <v>3</v>
      </c>
      <c r="F75" s="42" t="s">
        <v>4</v>
      </c>
      <c r="G75" s="42" t="s">
        <v>5</v>
      </c>
      <c r="H75" s="42" t="s">
        <v>6</v>
      </c>
      <c r="I75" s="42" t="s">
        <v>7</v>
      </c>
      <c r="J75" s="42" t="s">
        <v>8</v>
      </c>
      <c r="K75" s="42" t="s">
        <v>9</v>
      </c>
      <c r="L75" s="42" t="s">
        <v>10</v>
      </c>
      <c r="M75" s="42" t="s">
        <v>11</v>
      </c>
      <c r="N75" s="42" t="s">
        <v>12</v>
      </c>
      <c r="O75" s="42" t="s">
        <v>13</v>
      </c>
      <c r="P75" s="43" t="s">
        <v>14</v>
      </c>
    </row>
    <row r="76" spans="1:16" s="38" customFormat="1" ht="19.5" customHeight="1">
      <c r="A76" s="44" t="s">
        <v>49</v>
      </c>
      <c r="B76" s="380" t="s">
        <v>114</v>
      </c>
      <c r="C76" s="54" t="s">
        <v>16</v>
      </c>
      <c r="D76" s="1">
        <f>SUM('石巻第１:石巻第２'!D76)</f>
        <v>33.692400000000006</v>
      </c>
      <c r="E76" s="1">
        <f>SUM('石巻第１:石巻第２'!E76)</f>
        <v>7.5729999999999995</v>
      </c>
      <c r="F76" s="1">
        <f>SUM('石巻第１:石巻第２'!F76)</f>
        <v>7.878</v>
      </c>
      <c r="G76" s="1">
        <f>SUM('石巻第１:石巻第２'!G76)</f>
        <v>16.4994</v>
      </c>
      <c r="H76" s="1">
        <f>SUM('石巻第１:石巻第２'!H76)</f>
        <v>1.8474</v>
      </c>
      <c r="I76" s="1">
        <f>SUM('石巻第１:石巻第２'!I76)</f>
        <v>1.092</v>
      </c>
      <c r="J76" s="1">
        <f>SUM('石巻第１:石巻第２'!J76)</f>
        <v>0.085</v>
      </c>
      <c r="K76" s="1">
        <f>SUM('石巻第１:石巻第２'!K76)</f>
        <v>0.1294</v>
      </c>
      <c r="L76" s="5">
        <f>SUM('石巻第１:石巻第２'!L76)</f>
        <v>9.875</v>
      </c>
      <c r="M76" s="5">
        <f>SUM('石巻第１:石巻第２'!M76)</f>
        <v>2.8054</v>
      </c>
      <c r="N76" s="5">
        <f>SUM('石巻第１:石巻第２'!N76)</f>
        <v>28.0874</v>
      </c>
      <c r="O76" s="5">
        <f>SUM('石巻第１:石巻第２'!O76)</f>
        <v>11.006</v>
      </c>
      <c r="P76" s="15">
        <f>SUM('石巻第１:石巻第２'!P76)</f>
        <v>120.5704</v>
      </c>
    </row>
    <row r="77" spans="1:16" s="38" customFormat="1" ht="19.5" customHeight="1">
      <c r="A77" s="69" t="s">
        <v>51</v>
      </c>
      <c r="B77" s="381"/>
      <c r="C77" s="48" t="s">
        <v>18</v>
      </c>
      <c r="D77" s="2">
        <f>SUM('石巻第１:石巻第２'!D77)</f>
        <v>1377.395</v>
      </c>
      <c r="E77" s="2">
        <f>SUM('石巻第１:石巻第２'!E77)</f>
        <v>260.998</v>
      </c>
      <c r="F77" s="2">
        <f>SUM('石巻第１:石巻第２'!F77)</f>
        <v>246.973</v>
      </c>
      <c r="G77" s="2">
        <f>SUM('石巻第１:石巻第２'!G77)</f>
        <v>578.455</v>
      </c>
      <c r="H77" s="2">
        <f>SUM('石巻第１:石巻第２'!H77)</f>
        <v>52.571</v>
      </c>
      <c r="I77" s="2">
        <f>SUM('石巻第１:石巻第２'!I77)</f>
        <v>28.324</v>
      </c>
      <c r="J77" s="2">
        <f>SUM('石巻第１:石巻第２'!J77)</f>
        <v>3.575</v>
      </c>
      <c r="K77" s="2">
        <f>SUM('石巻第１:石巻第２'!K77)</f>
        <v>3.445</v>
      </c>
      <c r="L77" s="34">
        <f>SUM('石巻第１:石巻第２'!L77)</f>
        <v>337.224</v>
      </c>
      <c r="M77" s="97">
        <f>SUM('石巻第１:石巻第２'!M77)</f>
        <v>152.158</v>
      </c>
      <c r="N77" s="34">
        <f>SUM('石巻第１:石巻第２'!N77)</f>
        <v>1251.762</v>
      </c>
      <c r="O77" s="34">
        <f>SUM('石巻第１:石巻第２'!O77)</f>
        <v>1676.374</v>
      </c>
      <c r="P77" s="92">
        <f>SUM('石巻第１:石巻第２'!P77)</f>
        <v>5969.253999999999</v>
      </c>
    </row>
    <row r="78" spans="1:16" ht="19.5" customHeight="1">
      <c r="A78" s="45" t="s">
        <v>0</v>
      </c>
      <c r="B78" s="382" t="s">
        <v>54</v>
      </c>
      <c r="C78" s="54" t="s">
        <v>16</v>
      </c>
      <c r="D78" s="1">
        <f>SUM('石巻第１:石巻第２'!D78)</f>
        <v>22.6195</v>
      </c>
      <c r="E78" s="1">
        <f>SUM('石巻第１:石巻第２'!E78)</f>
        <v>26.0396</v>
      </c>
      <c r="F78" s="1">
        <f>SUM('石巻第１:石巻第２'!F78)</f>
        <v>30.0001</v>
      </c>
      <c r="G78" s="1">
        <f>SUM('石巻第１:石巻第２'!G78)</f>
        <v>35.5206</v>
      </c>
      <c r="H78" s="1">
        <f>SUM('石巻第１:石巻第２'!H78)</f>
        <v>36.0204</v>
      </c>
      <c r="I78" s="1">
        <f>SUM('石巻第１:石巻第２'!I78)</f>
        <v>155.1516</v>
      </c>
      <c r="J78" s="1">
        <f>SUM('石巻第１:石巻第２'!J78)</f>
        <v>154.4445</v>
      </c>
      <c r="K78" s="1">
        <f>SUM('石巻第１:石巻第２'!K78)</f>
        <v>72.1014</v>
      </c>
      <c r="L78" s="1">
        <f>SUM('石巻第１:石巻第２'!L78)</f>
        <v>39.0557</v>
      </c>
      <c r="M78" s="1">
        <f>SUM('石巻第１:石巻第２'!M78)</f>
        <v>98.3272</v>
      </c>
      <c r="N78" s="1">
        <f>SUM('石巻第１:石巻第２'!N78)</f>
        <v>81.6543</v>
      </c>
      <c r="O78" s="1">
        <f>SUM('石巻第１:石巻第２'!O78)</f>
        <v>35.6352</v>
      </c>
      <c r="P78" s="8">
        <f>SUM('石巻第１:石巻第２'!P78)</f>
        <v>786.5701000000001</v>
      </c>
    </row>
    <row r="79" spans="1:16" ht="19.5" customHeight="1">
      <c r="A79" s="45" t="s">
        <v>34</v>
      </c>
      <c r="B79" s="383"/>
      <c r="C79" s="48" t="s">
        <v>18</v>
      </c>
      <c r="D79" s="2">
        <f>SUM('石巻第１:石巻第２'!D79)</f>
        <v>15044.445</v>
      </c>
      <c r="E79" s="2">
        <f>SUM('石巻第１:石巻第２'!E79)</f>
        <v>17807.041</v>
      </c>
      <c r="F79" s="2">
        <f>SUM('石巻第１:石巻第２'!F79)</f>
        <v>27537.598</v>
      </c>
      <c r="G79" s="2">
        <f>SUM('石巻第１:石巻第２'!G79)</f>
        <v>26482.08</v>
      </c>
      <c r="H79" s="2">
        <f>SUM('石巻第１:石巻第２'!H79)</f>
        <v>26846.59</v>
      </c>
      <c r="I79" s="2">
        <f>SUM('石巻第１:石巻第２'!I79)</f>
        <v>55428.417</v>
      </c>
      <c r="J79" s="2">
        <f>SUM('石巻第１:石巻第２'!J79)</f>
        <v>74662.491</v>
      </c>
      <c r="K79" s="2">
        <f>SUM('石巻第１:石巻第２'!K79)</f>
        <v>58972.058</v>
      </c>
      <c r="L79" s="2">
        <f>SUM('石巻第１:石巻第２'!L79)</f>
        <v>26003.655</v>
      </c>
      <c r="M79" s="2">
        <f>SUM('石巻第１:石巻第２'!M79)</f>
        <v>46800.37</v>
      </c>
      <c r="N79" s="2">
        <f>SUM('石巻第１:石巻第２'!N79)</f>
        <v>31750.801</v>
      </c>
      <c r="O79" s="2">
        <f>SUM('石巻第１:石巻第２'!O79)</f>
        <v>25846.722</v>
      </c>
      <c r="P79" s="9">
        <f>SUM('石巻第１:石巻第２'!P79)</f>
        <v>433182.268</v>
      </c>
    </row>
    <row r="80" spans="1:16" ht="19.5" customHeight="1">
      <c r="A80" s="45" t="s">
        <v>0</v>
      </c>
      <c r="B80" s="382" t="s">
        <v>55</v>
      </c>
      <c r="C80" s="54" t="s">
        <v>16</v>
      </c>
      <c r="D80" s="1">
        <f>SUM('石巻第１:石巻第２'!D80)</f>
        <v>0.0266</v>
      </c>
      <c r="E80" s="1">
        <f>SUM('石巻第１:石巻第２'!E80)</f>
        <v>1.2412</v>
      </c>
      <c r="F80" s="1">
        <f>SUM('石巻第１:石巻第２'!F80)</f>
        <v>4.6794</v>
      </c>
      <c r="G80" s="1">
        <f>SUM('石巻第１:石巻第２'!G80)</f>
        <v>2.1454</v>
      </c>
      <c r="H80" s="1">
        <f>SUM('石巻第１:石巻第２'!H80)</f>
        <v>0.4732</v>
      </c>
      <c r="I80" s="1">
        <f>SUM('石巻第１:石巻第２'!I80)</f>
        <v>2.3318</v>
      </c>
      <c r="J80" s="1">
        <f>SUM('石巻第１:石巻第２'!J80)</f>
        <v>0.048</v>
      </c>
      <c r="K80" s="1">
        <f>SUM('石巻第１:石巻第２'!K80)</f>
        <v>0.065</v>
      </c>
      <c r="L80" s="1">
        <f>SUM('石巻第１:石巻第２'!L80)</f>
        <v>2.0626</v>
      </c>
      <c r="M80" s="1">
        <f>SUM('石巻第１:石巻第２'!M80)</f>
        <v>0.6636</v>
      </c>
      <c r="N80" s="1">
        <f>SUM('石巻第１:石巻第２'!N80)</f>
        <v>0.007</v>
      </c>
      <c r="O80" s="1">
        <f>SUM('石巻第１:石巻第２'!O80)</f>
        <v>0.0798</v>
      </c>
      <c r="P80" s="8">
        <f>SUM('石巻第１:石巻第２'!P80)</f>
        <v>13.8236</v>
      </c>
    </row>
    <row r="81" spans="1:16" ht="19.5" customHeight="1">
      <c r="A81" s="45" t="s">
        <v>0</v>
      </c>
      <c r="B81" s="383"/>
      <c r="C81" s="48" t="s">
        <v>18</v>
      </c>
      <c r="D81" s="2">
        <f>SUM('石巻第１:石巻第２'!D81)</f>
        <v>1.432</v>
      </c>
      <c r="E81" s="2">
        <f>SUM('石巻第１:石巻第２'!E81)</f>
        <v>151.935</v>
      </c>
      <c r="F81" s="2">
        <f>SUM('石巻第１:石巻第２'!F81)</f>
        <v>565.483</v>
      </c>
      <c r="G81" s="2">
        <f>SUM('石巻第１:石巻第２'!G81)</f>
        <v>293.911</v>
      </c>
      <c r="H81" s="2">
        <f>SUM('石巻第１:石巻第２'!H81)</f>
        <v>56.265</v>
      </c>
      <c r="I81" s="2">
        <f>SUM('石巻第１:石巻第２'!I81)</f>
        <v>227.507</v>
      </c>
      <c r="J81" s="2">
        <f>SUM('石巻第１:石巻第２'!J81)</f>
        <v>5.616</v>
      </c>
      <c r="K81" s="2">
        <f>SUM('石巻第１:石巻第２'!K81)</f>
        <v>18.036</v>
      </c>
      <c r="L81" s="2">
        <f>SUM('石巻第１:石巻第２'!L81)</f>
        <v>300.489</v>
      </c>
      <c r="M81" s="2">
        <f>SUM('石巻第１:石巻第２'!M81)</f>
        <v>75.213</v>
      </c>
      <c r="N81" s="2">
        <f>SUM('石巻第１:石巻第２'!N81)</f>
        <v>0.756</v>
      </c>
      <c r="O81" s="2">
        <f>SUM('石巻第１:石巻第２'!O81)</f>
        <v>9.18</v>
      </c>
      <c r="P81" s="9">
        <f>SUM('石巻第１:石巻第２'!P81)</f>
        <v>1705.8230000000003</v>
      </c>
    </row>
    <row r="82" spans="1:16" ht="19.5" customHeight="1">
      <c r="A82" s="45" t="s">
        <v>56</v>
      </c>
      <c r="B82" s="47" t="s">
        <v>182</v>
      </c>
      <c r="C82" s="54" t="s">
        <v>16</v>
      </c>
      <c r="D82" s="1"/>
      <c r="E82" s="1"/>
      <c r="F82" s="1"/>
      <c r="G82" s="1"/>
      <c r="H82" s="1"/>
      <c r="I82" s="1">
        <f>SUM('石巻第１:石巻第２'!I82)</f>
        <v>0.0006</v>
      </c>
      <c r="J82" s="1"/>
      <c r="K82" s="1"/>
      <c r="L82" s="1"/>
      <c r="M82" s="1"/>
      <c r="N82" s="1"/>
      <c r="O82" s="1"/>
      <c r="P82" s="8">
        <f>SUM('石巻第１:石巻第２'!P82)</f>
        <v>0.0018</v>
      </c>
    </row>
    <row r="83" spans="1:16" ht="19.5" customHeight="1">
      <c r="A83" s="45"/>
      <c r="B83" s="48" t="s">
        <v>164</v>
      </c>
      <c r="C83" s="48" t="s">
        <v>18</v>
      </c>
      <c r="D83" s="2"/>
      <c r="E83" s="2"/>
      <c r="F83" s="2"/>
      <c r="G83" s="2"/>
      <c r="H83" s="2"/>
      <c r="I83" s="2">
        <f>SUM('石巻第１:石巻第２'!I83)</f>
        <v>0.032</v>
      </c>
      <c r="J83" s="2"/>
      <c r="K83" s="2"/>
      <c r="L83" s="2"/>
      <c r="M83" s="2"/>
      <c r="N83" s="2"/>
      <c r="O83" s="2"/>
      <c r="P83" s="9">
        <f>SUM('石巻第１:石巻第２'!P83)</f>
        <v>0.162</v>
      </c>
    </row>
    <row r="84" spans="1:16" ht="19.5" customHeight="1">
      <c r="A84" s="45"/>
      <c r="B84" s="382" t="s">
        <v>59</v>
      </c>
      <c r="C84" s="54" t="s">
        <v>16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8"/>
    </row>
    <row r="85" spans="1:16" ht="19.5" customHeight="1">
      <c r="A85" s="45" t="s">
        <v>17</v>
      </c>
      <c r="B85" s="383"/>
      <c r="C85" s="48" t="s">
        <v>18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"/>
    </row>
    <row r="86" spans="1:16" ht="19.5" customHeight="1">
      <c r="A86" s="45"/>
      <c r="B86" s="47" t="s">
        <v>20</v>
      </c>
      <c r="C86" s="54" t="s">
        <v>16</v>
      </c>
      <c r="D86" s="1">
        <f>SUM('石巻第１:石巻第２'!D86)</f>
        <v>59.5942</v>
      </c>
      <c r="E86" s="1">
        <f>SUM('石巻第１:石巻第２'!E86)</f>
        <v>75.9926</v>
      </c>
      <c r="F86" s="1">
        <f>SUM('石巻第１:石巻第２'!F86)</f>
        <v>114.8744</v>
      </c>
      <c r="G86" s="1">
        <f>SUM('石巻第１:石巻第２'!G86)</f>
        <v>222.3712</v>
      </c>
      <c r="H86" s="1">
        <f>SUM('石巻第１:石巻第２'!H86)</f>
        <v>99.1787</v>
      </c>
      <c r="I86" s="1">
        <f>SUM('石巻第１:石巻第２'!I86)</f>
        <v>111.3413</v>
      </c>
      <c r="J86" s="1">
        <f>SUM('石巻第１:石巻第２'!J86)</f>
        <v>52.7682</v>
      </c>
      <c r="K86" s="1">
        <f>SUM('石巻第１:石巻第２'!K86)</f>
        <v>90.8029</v>
      </c>
      <c r="L86" s="1">
        <f>SUM('石巻第１:石巻第２'!L86)</f>
        <v>224.2294</v>
      </c>
      <c r="M86" s="1">
        <f>SUM('石巻第１:石巻第２'!M86)</f>
        <v>160.314</v>
      </c>
      <c r="N86" s="1">
        <f>SUM('石巻第１:石巻第２'!N86)</f>
        <v>114.2426</v>
      </c>
      <c r="O86" s="1">
        <f>SUM('石巻第１:石巻第２'!O86)</f>
        <v>65.2887</v>
      </c>
      <c r="P86" s="8">
        <f>SUM('石巻第１:石巻第２'!P86)</f>
        <v>1390.9982000000002</v>
      </c>
    </row>
    <row r="87" spans="1:16" ht="19.5" customHeight="1">
      <c r="A87" s="45"/>
      <c r="B87" s="48" t="s">
        <v>155</v>
      </c>
      <c r="C87" s="48" t="s">
        <v>18</v>
      </c>
      <c r="D87" s="2">
        <f>SUM('石巻第１:石巻第２'!D87)</f>
        <v>26802.058</v>
      </c>
      <c r="E87" s="2">
        <f>SUM('石巻第１:石巻第２'!E87)</f>
        <v>29166.281</v>
      </c>
      <c r="F87" s="2">
        <f>SUM('石巻第１:石巻第２'!F87)</f>
        <v>45686.413</v>
      </c>
      <c r="G87" s="2">
        <f>SUM('石巻第１:石巻第２'!G87)</f>
        <v>73148.508</v>
      </c>
      <c r="H87" s="2">
        <f>SUM('石巻第１:石巻第２'!H87)</f>
        <v>24763.719</v>
      </c>
      <c r="I87" s="2">
        <f>SUM('石巻第１:石巻第２'!I87)</f>
        <v>22368.445</v>
      </c>
      <c r="J87" s="2">
        <f>SUM('石巻第１:石巻第２'!J87)</f>
        <v>21610.058</v>
      </c>
      <c r="K87" s="2">
        <f>SUM('石巻第１:石巻第２'!K87)</f>
        <v>35812.063</v>
      </c>
      <c r="L87" s="2">
        <f>SUM('石巻第１:石巻第２'!L87)</f>
        <v>71542.423</v>
      </c>
      <c r="M87" s="2">
        <f>SUM('石巻第１:石巻第２'!M87)</f>
        <v>71818.504</v>
      </c>
      <c r="N87" s="2">
        <f>SUM('石巻第１:石巻第２'!N87)</f>
        <v>36513.781</v>
      </c>
      <c r="O87" s="2">
        <f>SUM('石巻第１:石巻第２'!O87)</f>
        <v>32763.13</v>
      </c>
      <c r="P87" s="9">
        <f>SUM('石巻第１:石巻第２'!P87)</f>
        <v>491995.3830000001</v>
      </c>
    </row>
    <row r="88" spans="1:16" s="38" customFormat="1" ht="19.5" customHeight="1">
      <c r="A88" s="44" t="s">
        <v>23</v>
      </c>
      <c r="B88" s="380" t="s">
        <v>114</v>
      </c>
      <c r="C88" s="54" t="s">
        <v>16</v>
      </c>
      <c r="D88" s="1">
        <f>SUM('石巻第１:石巻第２'!D88)</f>
        <v>82.24029999999999</v>
      </c>
      <c r="E88" s="1">
        <f>SUM('石巻第１:石巻第２'!E88)</f>
        <v>103.2734</v>
      </c>
      <c r="F88" s="1">
        <f>SUM('石巻第１:石巻第２'!F88)</f>
        <v>149.5539</v>
      </c>
      <c r="G88" s="1">
        <f>SUM('石巻第１:石巻第２'!G88)</f>
        <v>260.0372</v>
      </c>
      <c r="H88" s="1">
        <f>SUM('石巻第１:石巻第２'!H88)</f>
        <v>135.6723</v>
      </c>
      <c r="I88" s="1">
        <f>SUM('石巻第１:石巻第２'!I88)</f>
        <v>268.82529999999997</v>
      </c>
      <c r="J88" s="1">
        <f>SUM('石巻第１:石巻第２'!J88)</f>
        <v>207.2607</v>
      </c>
      <c r="K88" s="1">
        <f>SUM('石巻第１:石巻第２'!K88)</f>
        <v>162.96929999999998</v>
      </c>
      <c r="L88" s="5">
        <f>SUM('石巻第１:石巻第２'!L88)</f>
        <v>265.34770000000003</v>
      </c>
      <c r="M88" s="5">
        <f>SUM('石巻第１:石巻第２'!M88)</f>
        <v>259.306</v>
      </c>
      <c r="N88" s="5">
        <f>SUM('石巻第１:石巻第２'!N88)</f>
        <v>195.90390000000002</v>
      </c>
      <c r="O88" s="5">
        <f>SUM('石巻第１:石巻第２'!O88)</f>
        <v>101.00370000000001</v>
      </c>
      <c r="P88" s="15">
        <f>SUM('石巻第１:石巻第２'!P88)</f>
        <v>2191.3937000000005</v>
      </c>
    </row>
    <row r="89" spans="1:16" s="38" customFormat="1" ht="19.5" customHeight="1">
      <c r="A89" s="49"/>
      <c r="B89" s="381"/>
      <c r="C89" s="48" t="s">
        <v>18</v>
      </c>
      <c r="D89" s="2">
        <f>SUM('石巻第１:石巻第２'!D89)</f>
        <v>41847.935</v>
      </c>
      <c r="E89" s="2">
        <f>SUM('石巻第１:石巻第２'!E89)</f>
        <v>47125.257</v>
      </c>
      <c r="F89" s="2">
        <f>SUM('石巻第１:石巻第２'!F89)</f>
        <v>73789.494</v>
      </c>
      <c r="G89" s="2">
        <f>SUM('石巻第１:石巻第２'!G89)</f>
        <v>99924.49900000001</v>
      </c>
      <c r="H89" s="2">
        <f>SUM('石巻第１:石巻第２'!H89)</f>
        <v>51666.574</v>
      </c>
      <c r="I89" s="2">
        <f>SUM('石巻第１:石巻第２'!I89)</f>
        <v>78024.401</v>
      </c>
      <c r="J89" s="2">
        <f>SUM('石巻第１:石巻第２'!J89)</f>
        <v>96278.165</v>
      </c>
      <c r="K89" s="2">
        <f>SUM('石巻第１:石巻第２'!K89)</f>
        <v>94802.157</v>
      </c>
      <c r="L89" s="34">
        <f>SUM('石巻第１:石巻第２'!L89)</f>
        <v>97846.567</v>
      </c>
      <c r="M89" s="34">
        <f>SUM('石巻第１:石巻第２'!M89)</f>
        <v>118694.217</v>
      </c>
      <c r="N89" s="34">
        <f>SUM('石巻第１:石巻第２'!N89)</f>
        <v>68265.338</v>
      </c>
      <c r="O89" s="34">
        <f>SUM('石巻第１:石巻第２'!O89)</f>
        <v>58619.03200000001</v>
      </c>
      <c r="P89" s="92">
        <f>SUM('石巻第１:石巻第２'!P89)</f>
        <v>926883.636</v>
      </c>
    </row>
    <row r="90" spans="1:16" ht="19.5" customHeight="1">
      <c r="A90" s="376" t="s">
        <v>184</v>
      </c>
      <c r="B90" s="377"/>
      <c r="C90" s="54" t="s">
        <v>16</v>
      </c>
      <c r="D90" s="1">
        <f>SUM('石巻第１:石巻第２'!D90)</f>
        <v>5.2388</v>
      </c>
      <c r="E90" s="1">
        <f>SUM('石巻第１:石巻第２'!E90)</f>
        <v>3.4074</v>
      </c>
      <c r="F90" s="1">
        <f>SUM('石巻第１:石巻第２'!F90)</f>
        <v>1.3422</v>
      </c>
      <c r="G90" s="1">
        <f>SUM('石巻第１:石巻第２'!G90)</f>
        <v>4.6862</v>
      </c>
      <c r="H90" s="1">
        <f>SUM('石巻第１:石巻第２'!H90)</f>
        <v>4.4238</v>
      </c>
      <c r="I90" s="1">
        <f>SUM('石巻第１:石巻第２'!I90)</f>
        <v>11.7776</v>
      </c>
      <c r="J90" s="1">
        <f>SUM('石巻第１:石巻第２'!J90)</f>
        <v>17.1728</v>
      </c>
      <c r="K90" s="1">
        <f>SUM('石巻第１:石巻第２'!K90)</f>
        <v>18.237</v>
      </c>
      <c r="L90" s="1">
        <f>SUM('石巻第１:石巻第２'!L90)</f>
        <v>24.3248</v>
      </c>
      <c r="M90" s="1">
        <f>SUM('石巻第１:石巻第２'!M90)</f>
        <v>24.7456</v>
      </c>
      <c r="N90" s="1">
        <f>SUM('石巻第１:石巻第２'!N90)</f>
        <v>30.5994</v>
      </c>
      <c r="O90" s="1">
        <f>SUM('石巻第１:石巻第２'!O90)</f>
        <v>19.111</v>
      </c>
      <c r="P90" s="8">
        <f>SUM('石巻第１:石巻第２'!P90)</f>
        <v>165.06659999999997</v>
      </c>
    </row>
    <row r="91" spans="1:16" ht="19.5" customHeight="1">
      <c r="A91" s="378"/>
      <c r="B91" s="379"/>
      <c r="C91" s="48" t="s">
        <v>18</v>
      </c>
      <c r="D91" s="2">
        <f>SUM('石巻第１:石巻第２'!D91)</f>
        <v>3403.679</v>
      </c>
      <c r="E91" s="2">
        <f>SUM('石巻第１:石巻第２'!E91)</f>
        <v>2835.187</v>
      </c>
      <c r="F91" s="2">
        <f>SUM('石巻第１:石巻第２'!F91)</f>
        <v>2403.769</v>
      </c>
      <c r="G91" s="2">
        <f>SUM('石巻第１:石巻第２'!G91)</f>
        <v>5497.619</v>
      </c>
      <c r="H91" s="2">
        <f>SUM('石巻第１:石巻第２'!H91)</f>
        <v>5353.036</v>
      </c>
      <c r="I91" s="2">
        <f>SUM('石巻第１:石巻第２'!I91)</f>
        <v>11298.15</v>
      </c>
      <c r="J91" s="2">
        <f>SUM('石巻第１:石巻第２'!J91)</f>
        <v>17545.564</v>
      </c>
      <c r="K91" s="2">
        <f>SUM('石巻第１:石巻第２'!K91)</f>
        <v>19743.923</v>
      </c>
      <c r="L91" s="2">
        <f>SUM('石巻第１:石巻第２'!L91)</f>
        <v>20494.661</v>
      </c>
      <c r="M91" s="2">
        <f>SUM('石巻第１:石巻第２'!M91)</f>
        <v>19628.416</v>
      </c>
      <c r="N91" s="2">
        <f>SUM('石巻第１:石巻第２'!N91)</f>
        <v>21077.781</v>
      </c>
      <c r="O91" s="2">
        <f>SUM('石巻第１:石巻第２'!O91)</f>
        <v>17533.992</v>
      </c>
      <c r="P91" s="9">
        <f>SUM('石巻第１:石巻第２'!P91)</f>
        <v>146815.777</v>
      </c>
    </row>
    <row r="92" spans="1:16" ht="19.5" customHeight="1">
      <c r="A92" s="376" t="s">
        <v>185</v>
      </c>
      <c r="B92" s="377"/>
      <c r="C92" s="54" t="s">
        <v>16</v>
      </c>
      <c r="D92" s="1"/>
      <c r="E92" s="1">
        <f>SUM('石巻第１:石巻第２'!E92)</f>
        <v>24.641</v>
      </c>
      <c r="F92" s="1">
        <f>SUM('石巻第１:石巻第２'!F92)</f>
        <v>547.869</v>
      </c>
      <c r="G92" s="1">
        <f>SUM('石巻第１:石巻第２'!G92)</f>
        <v>1674.144</v>
      </c>
      <c r="H92" s="1">
        <f>SUM('石巻第１:石巻第２'!H92)</f>
        <v>738.417</v>
      </c>
      <c r="I92" s="1">
        <f>SUM('石巻第１:石巻第２'!I92)</f>
        <v>0.123</v>
      </c>
      <c r="J92" s="1"/>
      <c r="K92" s="1"/>
      <c r="L92" s="1"/>
      <c r="M92" s="1"/>
      <c r="N92" s="1"/>
      <c r="O92" s="1"/>
      <c r="P92" s="8">
        <f>SUM('石巻第１:石巻第２'!P92)</f>
        <v>2985.194</v>
      </c>
    </row>
    <row r="93" spans="1:16" ht="19.5" customHeight="1">
      <c r="A93" s="378"/>
      <c r="B93" s="379"/>
      <c r="C93" s="48" t="s">
        <v>18</v>
      </c>
      <c r="D93" s="2"/>
      <c r="E93" s="2">
        <f>SUM('石巻第１:石巻第２'!E93)</f>
        <v>2408.175</v>
      </c>
      <c r="F93" s="2">
        <f>SUM('石巻第１:石巻第２'!F93)</f>
        <v>53957.685</v>
      </c>
      <c r="G93" s="2">
        <f>SUM('石巻第１:石巻第２'!G93)</f>
        <v>271465.162</v>
      </c>
      <c r="H93" s="2">
        <f>SUM('石巻第１:石巻第２'!H93)</f>
        <v>58051.664</v>
      </c>
      <c r="I93" s="2">
        <f>SUM('石巻第１:石巻第２'!I93)</f>
        <v>3.985</v>
      </c>
      <c r="J93" s="2"/>
      <c r="K93" s="2"/>
      <c r="L93" s="2"/>
      <c r="M93" s="2"/>
      <c r="N93" s="2"/>
      <c r="O93" s="2"/>
      <c r="P93" s="9">
        <f>SUM('石巻第１:石巻第２'!P93)</f>
        <v>385886.671</v>
      </c>
    </row>
    <row r="94" spans="1:16" ht="19.5" customHeight="1">
      <c r="A94" s="376" t="s">
        <v>186</v>
      </c>
      <c r="B94" s="377"/>
      <c r="C94" s="54" t="s">
        <v>16</v>
      </c>
      <c r="D94" s="1">
        <f>SUM('石巻第１:石巻第２'!D94)</f>
        <v>0.0064</v>
      </c>
      <c r="E94" s="1">
        <f>SUM('石巻第１:石巻第２'!E94)</f>
        <v>0.0252</v>
      </c>
      <c r="F94" s="1">
        <f>SUM('石巻第１:石巻第２'!F94)</f>
        <v>0.0224</v>
      </c>
      <c r="G94" s="1">
        <f>SUM('石巻第１:石巻第２'!G94)</f>
        <v>0.007</v>
      </c>
      <c r="H94" s="1">
        <f>SUM('石巻第１:石巻第２'!H94)</f>
        <v>0.05</v>
      </c>
      <c r="I94" s="1">
        <f>SUM('石巻第１:石巻第２'!I94)</f>
        <v>0.0648</v>
      </c>
      <c r="J94" s="1">
        <f>SUM('石巻第１:石巻第２'!J94)</f>
        <v>0.0052</v>
      </c>
      <c r="K94" s="1">
        <f>SUM('石巻第１:石巻第２'!K94)</f>
        <v>0.0144</v>
      </c>
      <c r="L94" s="1">
        <f>SUM('石巻第１:石巻第２'!L94)</f>
        <v>0.1348</v>
      </c>
      <c r="M94" s="1">
        <f>SUM('石巻第１:石巻第２'!M94)</f>
        <v>0.0072</v>
      </c>
      <c r="N94" s="1">
        <f>SUM('石巻第１:石巻第２'!N94)</f>
        <v>0.0018</v>
      </c>
      <c r="O94" s="1">
        <f>SUM('石巻第１:石巻第２'!O94)</f>
        <v>0.0096</v>
      </c>
      <c r="P94" s="8">
        <f>SUM('石巻第１:石巻第２'!P94)</f>
        <v>0.34880000000000005</v>
      </c>
    </row>
    <row r="95" spans="1:16" ht="19.5" customHeight="1">
      <c r="A95" s="378"/>
      <c r="B95" s="379"/>
      <c r="C95" s="48" t="s">
        <v>18</v>
      </c>
      <c r="D95" s="2">
        <f>SUM('石巻第１:石巻第２'!D95)</f>
        <v>4.515</v>
      </c>
      <c r="E95" s="2">
        <f>SUM('石巻第１:石巻第２'!E95)</f>
        <v>58.716</v>
      </c>
      <c r="F95" s="2">
        <f>SUM('石巻第１:石巻第２'!F95)</f>
        <v>60.228</v>
      </c>
      <c r="G95" s="2">
        <f>SUM('石巻第１:石巻第２'!G95)</f>
        <v>20.239</v>
      </c>
      <c r="H95" s="2">
        <f>SUM('石巻第１:石巻第２'!H95)</f>
        <v>129.88</v>
      </c>
      <c r="I95" s="2">
        <f>SUM('石巻第１:石巻第２'!I95)</f>
        <v>149.321</v>
      </c>
      <c r="J95" s="2">
        <f>SUM('石巻第１:石巻第２'!J95)</f>
        <v>6.199</v>
      </c>
      <c r="K95" s="2">
        <f>SUM('石巻第１:石巻第２'!K95)</f>
        <v>40.435</v>
      </c>
      <c r="L95" s="2">
        <f>SUM('石巻第１:石巻第２'!L95)</f>
        <v>328.279</v>
      </c>
      <c r="M95" s="2">
        <f>SUM('石巻第１:石巻第２'!M95)</f>
        <v>14.774</v>
      </c>
      <c r="N95" s="2">
        <f>SUM('石巻第１:石巻第２'!N95)</f>
        <v>2.851</v>
      </c>
      <c r="O95" s="2">
        <f>SUM('石巻第１:石巻第２'!O95)</f>
        <v>32.443</v>
      </c>
      <c r="P95" s="9">
        <f>SUM('石巻第１:石巻第２'!P95)</f>
        <v>847.88</v>
      </c>
    </row>
    <row r="96" spans="1:16" ht="19.5" customHeight="1">
      <c r="A96" s="376" t="s">
        <v>187</v>
      </c>
      <c r="B96" s="377"/>
      <c r="C96" s="54" t="s">
        <v>16</v>
      </c>
      <c r="D96" s="1">
        <f>SUM('石巻第１:石巻第２'!D96)</f>
        <v>0.565</v>
      </c>
      <c r="E96" s="1">
        <f>SUM('石巻第１:石巻第２'!E96)</f>
        <v>9.3522</v>
      </c>
      <c r="F96" s="1">
        <f>SUM('石巻第１:石巻第２'!F96)</f>
        <v>6.1956</v>
      </c>
      <c r="G96" s="1">
        <f>SUM('石巻第１:石巻第２'!G96)</f>
        <v>3.4378</v>
      </c>
      <c r="H96" s="1">
        <f>SUM('石巻第１:石巻第２'!H96)</f>
        <v>8.9658</v>
      </c>
      <c r="I96" s="1">
        <f>SUM('石巻第１:石巻第２'!I96)</f>
        <v>23.2484</v>
      </c>
      <c r="J96" s="1">
        <f>SUM('石巻第１:石巻第２'!J96)</f>
        <v>0.9</v>
      </c>
      <c r="K96" s="1">
        <f>SUM('石巻第１:石巻第２'!K96)</f>
        <v>0.85</v>
      </c>
      <c r="L96" s="1">
        <f>SUM('石巻第１:石巻第２'!L96)</f>
        <v>11.137</v>
      </c>
      <c r="M96" s="1">
        <f>SUM('石巻第１:石巻第２'!M96)</f>
        <v>6.4494</v>
      </c>
      <c r="N96" s="1">
        <f>SUM('石巻第１:石巻第２'!N96)</f>
        <v>0.33</v>
      </c>
      <c r="O96" s="1">
        <f>SUM('石巻第１:石巻第２'!O96)</f>
        <v>0.6886</v>
      </c>
      <c r="P96" s="8">
        <f>SUM('石巻第１:石巻第２'!P96)</f>
        <v>72.11979999999998</v>
      </c>
    </row>
    <row r="97" spans="1:16" ht="19.5" customHeight="1">
      <c r="A97" s="378"/>
      <c r="B97" s="379"/>
      <c r="C97" s="48" t="s">
        <v>18</v>
      </c>
      <c r="D97" s="2">
        <f>SUM('石巻第１:石巻第２'!D97)</f>
        <v>990.171</v>
      </c>
      <c r="E97" s="2">
        <f>SUM('石巻第１:石巻第２'!E97)</f>
        <v>18649.764</v>
      </c>
      <c r="F97" s="2">
        <f>SUM('石巻第１:石巻第２'!F97)</f>
        <v>11456.643</v>
      </c>
      <c r="G97" s="2">
        <f>SUM('石巻第１:石巻第２'!G97)</f>
        <v>4955.948</v>
      </c>
      <c r="H97" s="2">
        <f>SUM('石巻第１:石巻第２'!H97)</f>
        <v>15037.931</v>
      </c>
      <c r="I97" s="2">
        <f>SUM('石巻第１:石巻第２'!I97)</f>
        <v>32339.175</v>
      </c>
      <c r="J97" s="2">
        <f>SUM('石巻第１:石巻第２'!J97)</f>
        <v>1509.84</v>
      </c>
      <c r="K97" s="2">
        <f>SUM('石巻第１:石巻第２'!K97)</f>
        <v>1279.476</v>
      </c>
      <c r="L97" s="2">
        <f>SUM('石巻第１:石巻第２'!L97)</f>
        <v>18196.537</v>
      </c>
      <c r="M97" s="2">
        <f>SUM('石巻第１:石巻第２'!M97)</f>
        <v>11259.519</v>
      </c>
      <c r="N97" s="2">
        <f>SUM('石巻第１:石巻第２'!N97)</f>
        <v>509.652</v>
      </c>
      <c r="O97" s="2">
        <f>SUM('石巻第１:石巻第２'!O97)</f>
        <v>1813.989</v>
      </c>
      <c r="P97" s="9">
        <f>SUM('石巻第１:石巻第２'!P97)</f>
        <v>117998.64499999999</v>
      </c>
    </row>
    <row r="98" spans="1:16" ht="19.5" customHeight="1">
      <c r="A98" s="376" t="s">
        <v>165</v>
      </c>
      <c r="B98" s="377"/>
      <c r="C98" s="54" t="s">
        <v>16</v>
      </c>
      <c r="D98" s="1"/>
      <c r="E98" s="1">
        <f>SUM('石巻第１:石巻第２'!E98)</f>
        <v>0.1596</v>
      </c>
      <c r="F98" s="1">
        <f>SUM('石巻第１:石巻第２'!F98)</f>
        <v>0.0994</v>
      </c>
      <c r="G98" s="1">
        <f>SUM('石巻第１:石巻第２'!G98)</f>
        <v>0.008</v>
      </c>
      <c r="H98" s="1">
        <f>SUM('石巻第１:石巻第２'!H98)</f>
        <v>0.0012</v>
      </c>
      <c r="I98" s="1">
        <f>SUM('石巻第１:石巻第２'!I98)</f>
        <v>0.0014</v>
      </c>
      <c r="J98" s="1">
        <f>SUM('石巻第１:石巻第２'!J98)</f>
        <v>0.0006</v>
      </c>
      <c r="K98" s="1"/>
      <c r="L98" s="1">
        <f>SUM('石巻第１:石巻第２'!L98)</f>
        <v>0.0004</v>
      </c>
      <c r="M98" s="1">
        <f>SUM('石巻第１:石巻第２'!M98)</f>
        <v>0.0004</v>
      </c>
      <c r="N98" s="1"/>
      <c r="O98" s="1"/>
      <c r="P98" s="8">
        <f>SUM('石巻第１:石巻第２'!P98)</f>
        <v>0.271</v>
      </c>
    </row>
    <row r="99" spans="1:16" ht="19.5" customHeight="1">
      <c r="A99" s="378"/>
      <c r="B99" s="379"/>
      <c r="C99" s="48" t="s">
        <v>18</v>
      </c>
      <c r="D99" s="2"/>
      <c r="E99" s="2">
        <f>SUM('石巻第１:石巻第２'!E99)</f>
        <v>53.834</v>
      </c>
      <c r="F99" s="2">
        <f>SUM('石巻第１:石巻第２'!F99)</f>
        <v>29.61</v>
      </c>
      <c r="G99" s="2">
        <f>SUM('石巻第１:石巻第２'!G99)</f>
        <v>10.303</v>
      </c>
      <c r="H99" s="2">
        <f>SUM('石巻第１:石巻第２'!H99)</f>
        <v>1.987</v>
      </c>
      <c r="I99" s="2">
        <f>SUM('石巻第１:石巻第２'!I99)</f>
        <v>1.382</v>
      </c>
      <c r="J99" s="2">
        <f>SUM('石巻第１:石巻第２'!J99)</f>
        <v>0.648</v>
      </c>
      <c r="K99" s="2"/>
      <c r="L99" s="2">
        <f>SUM('石巻第１:石巻第２'!L99)</f>
        <v>0.518</v>
      </c>
      <c r="M99" s="2">
        <f>SUM('石巻第１:石巻第２'!M99)</f>
        <v>0.518</v>
      </c>
      <c r="N99" s="2"/>
      <c r="O99" s="2"/>
      <c r="P99" s="9">
        <f>SUM('石巻第１:石巻第２'!P99)</f>
        <v>98.8</v>
      </c>
    </row>
    <row r="100" spans="1:16" ht="19.5" customHeight="1">
      <c r="A100" s="376" t="s">
        <v>166</v>
      </c>
      <c r="B100" s="377"/>
      <c r="C100" s="54" t="s">
        <v>16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8"/>
    </row>
    <row r="101" spans="1:16" ht="19.5" customHeight="1">
      <c r="A101" s="378"/>
      <c r="B101" s="379"/>
      <c r="C101" s="48" t="s">
        <v>18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"/>
    </row>
    <row r="102" spans="1:16" ht="19.5" customHeight="1">
      <c r="A102" s="376" t="s">
        <v>64</v>
      </c>
      <c r="B102" s="377"/>
      <c r="C102" s="54" t="s">
        <v>16</v>
      </c>
      <c r="D102" s="1">
        <f>SUM('石巻第１:石巻第２'!D102)</f>
        <v>59.1952</v>
      </c>
      <c r="E102" s="1">
        <f>SUM('石巻第１:石巻第２'!E102)</f>
        <v>129.526</v>
      </c>
      <c r="F102" s="1">
        <f>SUM('石巻第１:石巻第２'!F102)</f>
        <v>203.3168</v>
      </c>
      <c r="G102" s="1">
        <f>SUM('石巻第１:石巻第２'!G102)</f>
        <v>356.49705</v>
      </c>
      <c r="H102" s="1">
        <f>SUM('石巻第１:石巻第２'!H102)</f>
        <v>701.1106</v>
      </c>
      <c r="I102" s="1">
        <f>SUM('石巻第１:石巻第２'!I102)</f>
        <v>1299.8148</v>
      </c>
      <c r="J102" s="1">
        <f>SUM('石巻第１:石巻第２'!J102)</f>
        <v>1716.67727</v>
      </c>
      <c r="K102" s="1">
        <f>SUM('石巻第１:石巻第２'!K102)</f>
        <v>163.3283</v>
      </c>
      <c r="L102" s="1">
        <f>SUM('石巻第１:石巻第２'!L102)</f>
        <v>536.8508</v>
      </c>
      <c r="M102" s="1">
        <f>SUM('石巻第１:石巻第２'!M102)</f>
        <v>267.8339</v>
      </c>
      <c r="N102" s="1">
        <f>SUM('石巻第１:石巻第２'!N102)</f>
        <v>200.1653</v>
      </c>
      <c r="O102" s="1">
        <f>SUM('石巻第１:石巻第２'!O102)</f>
        <v>118.314</v>
      </c>
      <c r="P102" s="8">
        <f>SUM('石巻第１:石巻第２'!P102)</f>
        <v>5752.63002</v>
      </c>
    </row>
    <row r="103" spans="1:16" ht="19.5" customHeight="1">
      <c r="A103" s="378"/>
      <c r="B103" s="379"/>
      <c r="C103" s="48" t="s">
        <v>18</v>
      </c>
      <c r="D103" s="2">
        <f>SUM('石巻第１:石巻第２'!D103)</f>
        <v>23761.538</v>
      </c>
      <c r="E103" s="2">
        <f>SUM('石巻第１:石巻第２'!E103)</f>
        <v>53917.673</v>
      </c>
      <c r="F103" s="2">
        <f>SUM('石巻第１:石巻第２'!F103)</f>
        <v>89217.069</v>
      </c>
      <c r="G103" s="2">
        <f>SUM('石巻第１:石巻第２'!G103)</f>
        <v>188665.6</v>
      </c>
      <c r="H103" s="2">
        <f>SUM('石巻第１:石巻第２'!H103)</f>
        <v>431282.067</v>
      </c>
      <c r="I103" s="2">
        <f>SUM('石巻第１:石巻第２'!I103)</f>
        <v>668564.757</v>
      </c>
      <c r="J103" s="2">
        <f>SUM('石巻第１:石巻第２'!J103)</f>
        <v>883824.695</v>
      </c>
      <c r="K103" s="2">
        <f>SUM('石巻第１:石巻第２'!K103)</f>
        <v>50695.561</v>
      </c>
      <c r="L103" s="2">
        <f>SUM('石巻第１:石巻第２'!L103)</f>
        <v>95761.897</v>
      </c>
      <c r="M103" s="2">
        <f>SUM('石巻第１:石巻第２'!M103)</f>
        <v>57727.475</v>
      </c>
      <c r="N103" s="2">
        <f>SUM('石巻第１:石巻第２'!N103)</f>
        <v>48238.856</v>
      </c>
      <c r="O103" s="2">
        <f>SUM('石巻第１:石巻第２'!O103)</f>
        <v>56244.125</v>
      </c>
      <c r="P103" s="9">
        <f>SUM('石巻第１:石巻第２'!P103)</f>
        <v>2647901.313</v>
      </c>
    </row>
    <row r="104" spans="1:16" s="38" customFormat="1" ht="19.5" customHeight="1">
      <c r="A104" s="384" t="s">
        <v>65</v>
      </c>
      <c r="B104" s="385"/>
      <c r="C104" s="54" t="s">
        <v>16</v>
      </c>
      <c r="D104" s="1">
        <f>SUM('石巻第１:石巻第２'!D104)</f>
        <v>8168.6304</v>
      </c>
      <c r="E104" s="1">
        <f>SUM('石巻第１:石巻第２'!E104)</f>
        <v>5311.6077000000005</v>
      </c>
      <c r="F104" s="1">
        <f>SUM('石巻第１:石巻第２'!F104)</f>
        <v>3868.175</v>
      </c>
      <c r="G104" s="1">
        <f>SUM('石巻第１:石巻第２'!G104)</f>
        <v>5338.936949999999</v>
      </c>
      <c r="H104" s="1">
        <f>SUM('石巻第１:石巻第２'!H104)</f>
        <v>7016.483499999999</v>
      </c>
      <c r="I104" s="1">
        <f>SUM('石巻第１:石巻第２'!I104)</f>
        <v>11217.490600000001</v>
      </c>
      <c r="J104" s="1">
        <f>SUM('石巻第１:石巻第２'!J104)</f>
        <v>9890.40777</v>
      </c>
      <c r="K104" s="1">
        <f>SUM('石巻第１:石巻第２'!K104)</f>
        <v>6734.1182</v>
      </c>
      <c r="L104" s="5">
        <f>SUM('石巻第１:石巻第２'!L104)</f>
        <v>4959.886299999999</v>
      </c>
      <c r="M104" s="5">
        <f>SUM('石巻第１:石巻第２'!M104)</f>
        <v>8441.2857</v>
      </c>
      <c r="N104" s="5">
        <f>SUM('石巻第１:石巻第２'!N104)</f>
        <v>10345.965399999997</v>
      </c>
      <c r="O104" s="5">
        <f>SUM('石巻第１:石巻第２'!O104)</f>
        <v>8997.108300000002</v>
      </c>
      <c r="P104" s="15">
        <f>SUM('石巻第１:石巻第２'!P104)</f>
        <v>90290.09582</v>
      </c>
    </row>
    <row r="105" spans="1:16" s="38" customFormat="1" ht="19.5" customHeight="1">
      <c r="A105" s="386"/>
      <c r="B105" s="387"/>
      <c r="C105" s="48" t="s">
        <v>18</v>
      </c>
      <c r="D105" s="2">
        <f>SUM('石巻第１:石巻第２'!D105)</f>
        <v>1015575.075</v>
      </c>
      <c r="E105" s="2">
        <f>SUM('石巻第１:石巻第２'!E105)</f>
        <v>625113.16</v>
      </c>
      <c r="F105" s="2">
        <f>SUM('石巻第１:石巻第２'!F105)</f>
        <v>587528.1419999999</v>
      </c>
      <c r="G105" s="2">
        <f>SUM('石巻第１:石巻第２'!G105)</f>
        <v>925602.4039999999</v>
      </c>
      <c r="H105" s="2">
        <f>SUM('石巻第１:石巻第２'!H105)</f>
        <v>1236730.946</v>
      </c>
      <c r="I105" s="2">
        <f>SUM('石巻第１:石巻第２'!I105)</f>
        <v>1989550.986</v>
      </c>
      <c r="J105" s="2">
        <f>SUM('石巻第１:石巻第２'!J105)</f>
        <v>2391305.8940000003</v>
      </c>
      <c r="K105" s="2">
        <f>SUM('石巻第１:石巻第２'!K105)</f>
        <v>1379249.1900000004</v>
      </c>
      <c r="L105" s="34">
        <f>SUM('石巻第１:石巻第２'!L105)</f>
        <v>843697.1460000001</v>
      </c>
      <c r="M105" s="34">
        <f>SUM('石巻第１:石巻第２'!M105)</f>
        <v>1415478.885</v>
      </c>
      <c r="N105" s="34">
        <f>SUM('石巻第１:石巻第２'!N105)</f>
        <v>1255729.852</v>
      </c>
      <c r="O105" s="34">
        <f>SUM('石巻第１:石巻第２'!O105)</f>
        <v>1108853.313</v>
      </c>
      <c r="P105" s="92">
        <f>SUM('石巻第１:石巻第２'!P105)</f>
        <v>14774414.993</v>
      </c>
    </row>
    <row r="106" spans="1:16" ht="19.5" customHeight="1">
      <c r="A106" s="44" t="s">
        <v>0</v>
      </c>
      <c r="B106" s="382" t="s">
        <v>167</v>
      </c>
      <c r="C106" s="54" t="s">
        <v>16</v>
      </c>
      <c r="D106" s="1">
        <f>SUM('石巻第１:石巻第２'!D106)</f>
        <v>0.9811</v>
      </c>
      <c r="E106" s="1"/>
      <c r="F106" s="1">
        <f>SUM('石巻第１:石巻第２'!F106)</f>
        <v>0.4632</v>
      </c>
      <c r="G106" s="1">
        <f>SUM('石巻第１:石巻第２'!G106)</f>
        <v>0.5285</v>
      </c>
      <c r="H106" s="1">
        <f>SUM('石巻第１:石巻第２'!H106)</f>
        <v>2.1018</v>
      </c>
      <c r="I106" s="1">
        <f>SUM('石巻第１:石巻第２'!I106)</f>
        <v>0.7909</v>
      </c>
      <c r="J106" s="1">
        <f>SUM('石巻第１:石巻第２'!J106)</f>
        <v>0.8208</v>
      </c>
      <c r="K106" s="1">
        <f>SUM('石巻第１:石巻第２'!K106)</f>
        <v>0.3806</v>
      </c>
      <c r="L106" s="1">
        <f>SUM('石巻第１:石巻第２'!L106)</f>
        <v>2.0163</v>
      </c>
      <c r="M106" s="1">
        <f>SUM('石巻第１:石巻第２'!M106)</f>
        <v>0.1861</v>
      </c>
      <c r="N106" s="1">
        <f>SUM('石巻第１:石巻第２'!N106)</f>
        <v>0.4716</v>
      </c>
      <c r="O106" s="1">
        <f>SUM('石巻第１:石巻第２'!O106)</f>
        <v>0.6573</v>
      </c>
      <c r="P106" s="8">
        <f>SUM('石巻第１:石巻第２'!P106)</f>
        <v>9.398200000000001</v>
      </c>
    </row>
    <row r="107" spans="1:16" ht="19.5" customHeight="1">
      <c r="A107" s="44" t="s">
        <v>0</v>
      </c>
      <c r="B107" s="383"/>
      <c r="C107" s="48" t="s">
        <v>18</v>
      </c>
      <c r="D107" s="2">
        <f>SUM('石巻第１:石巻第２'!D107)</f>
        <v>2612.997</v>
      </c>
      <c r="E107" s="2"/>
      <c r="F107" s="2">
        <f>SUM('石巻第１:石巻第２'!F107)</f>
        <v>1385.043</v>
      </c>
      <c r="G107" s="2">
        <f>SUM('石巻第１:石巻第２'!G107)</f>
        <v>1309.468</v>
      </c>
      <c r="H107" s="2">
        <f>SUM('石巻第１:石巻第２'!H107)</f>
        <v>6950.565</v>
      </c>
      <c r="I107" s="2">
        <f>SUM('石巻第１:石巻第２'!I107)</f>
        <v>1485.553</v>
      </c>
      <c r="J107" s="2">
        <f>SUM('石巻第１:石巻第２'!J107)</f>
        <v>2610.032</v>
      </c>
      <c r="K107" s="2">
        <f>SUM('石巻第１:石巻第２'!K107)</f>
        <v>1604.464</v>
      </c>
      <c r="L107" s="2">
        <f>SUM('石巻第１:石巻第２'!L107)</f>
        <v>4195.905</v>
      </c>
      <c r="M107" s="2">
        <f>SUM('石巻第１:石巻第２'!M107)</f>
        <v>168.173</v>
      </c>
      <c r="N107" s="2">
        <f>SUM('石巻第１:石巻第２'!N107)</f>
        <v>1484.277</v>
      </c>
      <c r="O107" s="2">
        <f>SUM('石巻第１:石巻第２'!O107)</f>
        <v>2514.669</v>
      </c>
      <c r="P107" s="9">
        <f>SUM('石巻第１:石巻第２'!P107)</f>
        <v>26321.146</v>
      </c>
    </row>
    <row r="108" spans="1:16" ht="19.5" customHeight="1">
      <c r="A108" s="45" t="s">
        <v>66</v>
      </c>
      <c r="B108" s="382" t="s">
        <v>188</v>
      </c>
      <c r="C108" s="54" t="s">
        <v>16</v>
      </c>
      <c r="D108" s="1">
        <f>SUM('石巻第１:石巻第２'!D108)</f>
        <v>28.5746</v>
      </c>
      <c r="E108" s="1">
        <f>SUM('石巻第１:石巻第２'!E108)</f>
        <v>14.1406</v>
      </c>
      <c r="F108" s="1">
        <f>SUM('石巻第１:石巻第２'!F108)</f>
        <v>12.0292</v>
      </c>
      <c r="G108" s="1">
        <f>SUM('石巻第１:石巻第２'!G108)</f>
        <v>24.3506</v>
      </c>
      <c r="H108" s="1">
        <f>SUM('石巻第１:石巻第２'!H108)</f>
        <v>28.9542</v>
      </c>
      <c r="I108" s="1">
        <f>SUM('石巻第１:石巻第２'!I108)</f>
        <v>49.1204</v>
      </c>
      <c r="J108" s="1">
        <f>SUM('石巻第１:石巻第２'!J108)</f>
        <v>51.5472</v>
      </c>
      <c r="K108" s="1">
        <f>SUM('石巻第１:石巻第２'!K108)</f>
        <v>18.233</v>
      </c>
      <c r="L108" s="1">
        <f>SUM('石巻第１:石巻第２'!L108)</f>
        <v>28.728</v>
      </c>
      <c r="M108" s="1">
        <f>SUM('石巻第１:石巻第２'!M108)</f>
        <v>23.25</v>
      </c>
      <c r="N108" s="1">
        <f>SUM('石巻第１:石巻第２'!N108)</f>
        <v>21.8298</v>
      </c>
      <c r="O108" s="1">
        <f>SUM('石巻第１:石巻第２'!O108)</f>
        <v>23.7564</v>
      </c>
      <c r="P108" s="8">
        <f>SUM('石巻第１:石巻第２'!P108)</f>
        <v>324.514</v>
      </c>
    </row>
    <row r="109" spans="1:16" ht="19.5" customHeight="1">
      <c r="A109" s="45" t="s">
        <v>0</v>
      </c>
      <c r="B109" s="383"/>
      <c r="C109" s="48" t="s">
        <v>18</v>
      </c>
      <c r="D109" s="2">
        <f>SUM('石巻第１:石巻第２'!D109)</f>
        <v>10937.728</v>
      </c>
      <c r="E109" s="2">
        <f>SUM('石巻第１:石巻第２'!E109)</f>
        <v>4611.223</v>
      </c>
      <c r="F109" s="2">
        <f>SUM('石巻第１:石巻第２'!F109)</f>
        <v>4340.177</v>
      </c>
      <c r="G109" s="2">
        <f>SUM('石巻第１:石巻第２'!G109)</f>
        <v>8863.693</v>
      </c>
      <c r="H109" s="2">
        <f>SUM('石巻第１:石巻第２'!H109)</f>
        <v>11535.146</v>
      </c>
      <c r="I109" s="2">
        <f>SUM('石巻第１:石巻第２'!I109)</f>
        <v>20628.832</v>
      </c>
      <c r="J109" s="2">
        <f>SUM('石巻第１:石巻第２'!J109)</f>
        <v>23627.014</v>
      </c>
      <c r="K109" s="2">
        <f>SUM('石巻第１:石巻第２'!K109)</f>
        <v>9075.334</v>
      </c>
      <c r="L109" s="2">
        <f>SUM('石巻第１:石巻第２'!L109)</f>
        <v>9337.225</v>
      </c>
      <c r="M109" s="2">
        <f>SUM('石巻第１:石巻第２'!M109)</f>
        <v>9247.259</v>
      </c>
      <c r="N109" s="2">
        <f>SUM('石巻第１:石巻第２'!N109)</f>
        <v>9918.868</v>
      </c>
      <c r="O109" s="2">
        <f>SUM('石巻第１:石巻第２'!O109)</f>
        <v>13042.107</v>
      </c>
      <c r="P109" s="9">
        <f>SUM('石巻第１:石巻第２'!P109)</f>
        <v>135164.606</v>
      </c>
    </row>
    <row r="110" spans="1:16" ht="19.5" customHeight="1">
      <c r="A110" s="45" t="s">
        <v>0</v>
      </c>
      <c r="B110" s="382" t="s">
        <v>169</v>
      </c>
      <c r="C110" s="54" t="s">
        <v>16</v>
      </c>
      <c r="D110" s="1">
        <f>SUM('石巻第１:石巻第２'!D110)</f>
        <v>569.7387</v>
      </c>
      <c r="E110" s="1">
        <f>SUM('石巻第１:石巻第２'!E110)</f>
        <v>156.875</v>
      </c>
      <c r="F110" s="1">
        <f>SUM('石巻第１:石巻第２'!F110)</f>
        <v>96.0708</v>
      </c>
      <c r="G110" s="1">
        <f>SUM('石巻第１:石巻第２'!G110)</f>
        <v>79.8307</v>
      </c>
      <c r="H110" s="1">
        <f>SUM('石巻第１:石巻第２'!H110)</f>
        <v>88.2344</v>
      </c>
      <c r="I110" s="1">
        <f>SUM('石巻第１:石巻第２'!I110)</f>
        <v>99.0696</v>
      </c>
      <c r="J110" s="1">
        <f>SUM('石巻第１:石巻第２'!J110)</f>
        <v>18.953</v>
      </c>
      <c r="K110" s="1">
        <f>SUM('石巻第１:石巻第２'!K110)</f>
        <v>37.7304</v>
      </c>
      <c r="L110" s="1">
        <f>SUM('石巻第１:石巻第２'!L110)</f>
        <v>610.7074</v>
      </c>
      <c r="M110" s="1">
        <f>SUM('石巻第１:石巻第２'!M110)</f>
        <v>1187.4078</v>
      </c>
      <c r="N110" s="1">
        <f>SUM('石巻第１:石巻第２'!N110)</f>
        <v>2000.1578</v>
      </c>
      <c r="O110" s="1">
        <f>SUM('石巻第１:石巻第２'!O110)</f>
        <v>1166.0279</v>
      </c>
      <c r="P110" s="8">
        <f>SUM('石巻第１:石巻第２'!P110)</f>
        <v>6110.8035</v>
      </c>
    </row>
    <row r="111" spans="1:16" ht="19.5" customHeight="1">
      <c r="A111" s="45"/>
      <c r="B111" s="383"/>
      <c r="C111" s="48" t="s">
        <v>18</v>
      </c>
      <c r="D111" s="2">
        <f>SUM('石巻第１:石巻第２'!D111)</f>
        <v>151986.983</v>
      </c>
      <c r="E111" s="2">
        <f>SUM('石巻第１:石巻第２'!E111)</f>
        <v>59199.294</v>
      </c>
      <c r="F111" s="2">
        <f>SUM('石巻第１:石巻第２'!F111)</f>
        <v>48904.358</v>
      </c>
      <c r="G111" s="2">
        <f>SUM('石巻第１:石巻第２'!G111)</f>
        <v>46610.413</v>
      </c>
      <c r="H111" s="2">
        <f>SUM('石巻第１:石巻第２'!H111)</f>
        <v>56470.563</v>
      </c>
      <c r="I111" s="2">
        <f>SUM('石巻第１:石巻第２'!I111)</f>
        <v>10303.673</v>
      </c>
      <c r="J111" s="2">
        <f>SUM('石巻第１:石巻第２'!J111)</f>
        <v>3476.301</v>
      </c>
      <c r="K111" s="2">
        <f>SUM('石巻第１:石巻第２'!K111)</f>
        <v>9904.589</v>
      </c>
      <c r="L111" s="2">
        <f>SUM('石巻第１:石巻第２'!L111)</f>
        <v>138645.974</v>
      </c>
      <c r="M111" s="2">
        <f>SUM('石巻第１:石巻第２'!M111)</f>
        <v>259041.631</v>
      </c>
      <c r="N111" s="2">
        <f>SUM('石巻第１:石巻第２'!N111)</f>
        <v>447439.146</v>
      </c>
      <c r="O111" s="2">
        <f>SUM('石巻第１:石巻第２'!O111)</f>
        <v>313177.754</v>
      </c>
      <c r="P111" s="9">
        <f>SUM('石巻第１:石巻第２'!P111)</f>
        <v>1545160.679</v>
      </c>
    </row>
    <row r="112" spans="1:16" ht="19.5" customHeight="1">
      <c r="A112" s="45" t="s">
        <v>67</v>
      </c>
      <c r="B112" s="382" t="s">
        <v>189</v>
      </c>
      <c r="C112" s="54" t="s">
        <v>16</v>
      </c>
      <c r="D112" s="1">
        <f>SUM('石巻第１:石巻第２'!D112)</f>
        <v>0.0678</v>
      </c>
      <c r="E112" s="1">
        <f>SUM('石巻第１:石巻第２'!E112)</f>
        <v>0.1163</v>
      </c>
      <c r="F112" s="1">
        <f>SUM('石巻第１:石巻第２'!F112)</f>
        <v>0.1157</v>
      </c>
      <c r="G112" s="1">
        <f>SUM('石巻第１:石巻第２'!G112)</f>
        <v>1.5075</v>
      </c>
      <c r="H112" s="1">
        <f>SUM('石巻第１:石巻第２'!H112)</f>
        <v>6.8547</v>
      </c>
      <c r="I112" s="1">
        <f>SUM('石巻第１:石巻第２'!I112)</f>
        <v>7.1863</v>
      </c>
      <c r="J112" s="1">
        <f>SUM('石巻第１:石巻第２'!J112)</f>
        <v>0.5718</v>
      </c>
      <c r="K112" s="1">
        <f>SUM('石巻第１:石巻第２'!K112)</f>
        <v>0.2638</v>
      </c>
      <c r="L112" s="1">
        <f>SUM('石巻第１:石巻第２'!L112)</f>
        <v>1.603</v>
      </c>
      <c r="M112" s="1">
        <f>SUM('石巻第１:石巻第２'!M112)</f>
        <v>3.3094</v>
      </c>
      <c r="N112" s="1">
        <f>SUM('石巻第１:石巻第２'!N112)</f>
        <v>1.9612</v>
      </c>
      <c r="O112" s="1">
        <f>SUM('石巻第１:石巻第２'!O112)</f>
        <v>0.6584</v>
      </c>
      <c r="P112" s="8">
        <f>SUM('石巻第１:石巻第２'!P112)</f>
        <v>24.215900000000005</v>
      </c>
    </row>
    <row r="113" spans="1:16" ht="19.5" customHeight="1">
      <c r="A113" s="45"/>
      <c r="B113" s="383"/>
      <c r="C113" s="48" t="s">
        <v>18</v>
      </c>
      <c r="D113" s="2">
        <f>SUM('石巻第１:石巻第２'!D113)</f>
        <v>195.983</v>
      </c>
      <c r="E113" s="2">
        <f>SUM('石巻第１:石巻第２'!E113)</f>
        <v>559.43</v>
      </c>
      <c r="F113" s="2">
        <f>SUM('石巻第１:石巻第２'!F113)</f>
        <v>1019.319</v>
      </c>
      <c r="G113" s="2">
        <f>SUM('石巻第１:石巻第２'!G113)</f>
        <v>5295.014</v>
      </c>
      <c r="H113" s="2">
        <f>SUM('石巻第１:石巻第２'!H113)</f>
        <v>17124.166</v>
      </c>
      <c r="I113" s="2">
        <f>SUM('石巻第１:石巻第２'!I113)</f>
        <v>15238.84</v>
      </c>
      <c r="J113" s="2">
        <f>SUM('石巻第１:石巻第２'!J113)</f>
        <v>1297.896</v>
      </c>
      <c r="K113" s="2">
        <f>SUM('石巻第１:石巻第２'!K113)</f>
        <v>628.982</v>
      </c>
      <c r="L113" s="2">
        <f>SUM('石巻第１:石巻第２'!L113)</f>
        <v>1568.76</v>
      </c>
      <c r="M113" s="2">
        <f>SUM('石巻第１:石巻第２'!M113)</f>
        <v>1372.666</v>
      </c>
      <c r="N113" s="2">
        <f>SUM('石巻第１:石巻第２'!N113)</f>
        <v>753.816</v>
      </c>
      <c r="O113" s="2">
        <f>SUM('石巻第１:石巻第２'!O113)</f>
        <v>696.286</v>
      </c>
      <c r="P113" s="9">
        <f>SUM('石巻第１:石巻第２'!P113)</f>
        <v>45751.158</v>
      </c>
    </row>
    <row r="114" spans="1:16" ht="19.5" customHeight="1">
      <c r="A114" s="45"/>
      <c r="B114" s="382" t="s">
        <v>171</v>
      </c>
      <c r="C114" s="54" t="s">
        <v>16</v>
      </c>
      <c r="D114" s="1">
        <f>SUM('石巻第１:石巻第２'!D114)</f>
        <v>1.0528</v>
      </c>
      <c r="E114" s="1">
        <f>SUM('石巻第１:石巻第２'!E114)</f>
        <v>2.2788</v>
      </c>
      <c r="F114" s="1">
        <f>SUM('石巻第１:石巻第２'!F114)</f>
        <v>4.586</v>
      </c>
      <c r="G114" s="1">
        <f>SUM('石巻第１:石巻第２'!G114)</f>
        <v>4.3788</v>
      </c>
      <c r="H114" s="1">
        <f>SUM('石巻第１:石巻第２'!H114)</f>
        <v>2.0898</v>
      </c>
      <c r="I114" s="1">
        <f>SUM('石巻第１:石巻第２'!I114)</f>
        <v>1.7848</v>
      </c>
      <c r="J114" s="1">
        <f>SUM('石巻第１:石巻第２'!J114)</f>
        <v>2.801</v>
      </c>
      <c r="K114" s="1">
        <f>SUM('石巻第１:石巻第２'!K114)</f>
        <v>1.051</v>
      </c>
      <c r="L114" s="1">
        <f>SUM('石巻第１:石巻第２'!L114)</f>
        <v>1.8212</v>
      </c>
      <c r="M114" s="1">
        <f>SUM('石巻第１:石巻第２'!M114)</f>
        <v>3.5328</v>
      </c>
      <c r="N114" s="1">
        <f>SUM('石巻第１:石巻第２'!N114)</f>
        <v>1.0958</v>
      </c>
      <c r="O114" s="1">
        <f>SUM('石巻第１:石巻第２'!O114)</f>
        <v>0.6866</v>
      </c>
      <c r="P114" s="8">
        <f>SUM('石巻第１:石巻第２'!P114)</f>
        <v>27.1594</v>
      </c>
    </row>
    <row r="115" spans="1:16" ht="19.5" customHeight="1">
      <c r="A115" s="45"/>
      <c r="B115" s="383"/>
      <c r="C115" s="48" t="s">
        <v>18</v>
      </c>
      <c r="D115" s="2">
        <f>SUM('石巻第１:石巻第２'!D115)</f>
        <v>964.866</v>
      </c>
      <c r="E115" s="2">
        <f>SUM('石巻第１:石巻第２'!E115)</f>
        <v>2579.914</v>
      </c>
      <c r="F115" s="2">
        <f>SUM('石巻第１:石巻第２'!F115)</f>
        <v>5791.422</v>
      </c>
      <c r="G115" s="2">
        <f>SUM('石巻第１:石巻第２'!G115)</f>
        <v>5168.667</v>
      </c>
      <c r="H115" s="2">
        <f>SUM('石巻第１:石巻第２'!H115)</f>
        <v>2406.738</v>
      </c>
      <c r="I115" s="2">
        <f>SUM('石巻第１:石巻第２'!I115)</f>
        <v>2538.725</v>
      </c>
      <c r="J115" s="2">
        <f>SUM('石巻第１:石巻第２'!J115)</f>
        <v>3937.896</v>
      </c>
      <c r="K115" s="2">
        <f>SUM('石巻第１:石巻第２'!K115)</f>
        <v>1474.2</v>
      </c>
      <c r="L115" s="2">
        <f>SUM('石巻第１:石巻第２'!L115)</f>
        <v>2286.052</v>
      </c>
      <c r="M115" s="2">
        <f>SUM('石巻第１:石巻第２'!M115)</f>
        <v>3937.414</v>
      </c>
      <c r="N115" s="2">
        <f>SUM('石巻第１:石巻第２'!N115)</f>
        <v>1555.659</v>
      </c>
      <c r="O115" s="2">
        <f>SUM('石巻第１:石巻第２'!O115)</f>
        <v>1145.555</v>
      </c>
      <c r="P115" s="9">
        <f>SUM('石巻第１:石巻第２'!P115)</f>
        <v>33787.108</v>
      </c>
    </row>
    <row r="116" spans="1:16" ht="19.5" customHeight="1">
      <c r="A116" s="45" t="s">
        <v>68</v>
      </c>
      <c r="B116" s="382" t="s">
        <v>190</v>
      </c>
      <c r="C116" s="54" t="s">
        <v>16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8"/>
    </row>
    <row r="117" spans="1:16" ht="19.5" customHeight="1">
      <c r="A117" s="45"/>
      <c r="B117" s="383"/>
      <c r="C117" s="48" t="s">
        <v>18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</row>
    <row r="118" spans="1:16" ht="19.5" customHeight="1">
      <c r="A118" s="45"/>
      <c r="B118" s="382" t="s">
        <v>191</v>
      </c>
      <c r="C118" s="54" t="s">
        <v>16</v>
      </c>
      <c r="D118" s="1">
        <f>SUM('石巻第１:石巻第２'!D118)</f>
        <v>15.004</v>
      </c>
      <c r="E118" s="1">
        <f>SUM('石巻第１:石巻第２'!E118)</f>
        <v>4.5756</v>
      </c>
      <c r="F118" s="1">
        <f>SUM('石巻第１:石巻第２'!F118)</f>
        <v>4.408</v>
      </c>
      <c r="G118" s="1">
        <f>SUM('石巻第１:石巻第２'!G118)</f>
        <v>0.2198</v>
      </c>
      <c r="H118" s="1"/>
      <c r="I118" s="1"/>
      <c r="J118" s="1"/>
      <c r="K118" s="1"/>
      <c r="L118" s="1"/>
      <c r="M118" s="1"/>
      <c r="N118" s="1">
        <f>SUM('石巻第１:石巻第２'!N118)</f>
        <v>10.4632</v>
      </c>
      <c r="O118" s="1">
        <f>SUM('石巻第１:石巻第２'!O118)</f>
        <v>8.8826</v>
      </c>
      <c r="P118" s="8">
        <f>SUM('石巻第１:石巻第２'!P118)</f>
        <v>43.553200000000004</v>
      </c>
    </row>
    <row r="119" spans="1:16" ht="19.5" customHeight="1">
      <c r="A119" s="45"/>
      <c r="B119" s="383"/>
      <c r="C119" s="48" t="s">
        <v>18</v>
      </c>
      <c r="D119" s="2">
        <f>SUM('石巻第１:石巻第２'!D119)</f>
        <v>33257.788</v>
      </c>
      <c r="E119" s="2">
        <f>SUM('石巻第１:石巻第２'!E119)</f>
        <v>8385.361</v>
      </c>
      <c r="F119" s="2">
        <f>SUM('石巻第１:石巻第２'!F119)</f>
        <v>8348.112</v>
      </c>
      <c r="G119" s="2">
        <f>SUM('石巻第１:石巻第２'!G119)</f>
        <v>470.07</v>
      </c>
      <c r="H119" s="2"/>
      <c r="I119" s="2"/>
      <c r="J119" s="2"/>
      <c r="K119" s="2"/>
      <c r="L119" s="2"/>
      <c r="M119" s="2"/>
      <c r="N119" s="2">
        <f>SUM('石巻第１:石巻第２'!N119)</f>
        <v>19528.885</v>
      </c>
      <c r="O119" s="2">
        <f>SUM('石巻第１:石巻第２'!O119)</f>
        <v>21100.629</v>
      </c>
      <c r="P119" s="9">
        <f>SUM('石巻第１:石巻第２'!P119)</f>
        <v>91090.845</v>
      </c>
    </row>
    <row r="120" spans="1:16" ht="19.5" customHeight="1">
      <c r="A120" s="45" t="s">
        <v>70</v>
      </c>
      <c r="B120" s="382" t="s">
        <v>174</v>
      </c>
      <c r="C120" s="54" t="s">
        <v>16</v>
      </c>
      <c r="D120" s="1">
        <f>SUM('石巻第１:石巻第２'!D120)</f>
        <v>1.7856</v>
      </c>
      <c r="E120" s="1">
        <f>SUM('石巻第１:石巻第２'!E120)</f>
        <v>0.6584</v>
      </c>
      <c r="F120" s="1">
        <f>SUM('石巻第１:石巻第２'!F120)</f>
        <v>0.7871</v>
      </c>
      <c r="G120" s="1">
        <f>SUM('石巻第１:石巻第２'!G120)</f>
        <v>0.2385</v>
      </c>
      <c r="H120" s="1">
        <f>SUM('石巻第１:石巻第２'!H120)</f>
        <v>0.1507</v>
      </c>
      <c r="I120" s="1">
        <f>SUM('石巻第１:石巻第２'!I120)</f>
        <v>0.2187</v>
      </c>
      <c r="J120" s="1"/>
      <c r="K120" s="1"/>
      <c r="L120" s="1"/>
      <c r="M120" s="1">
        <f>SUM('石巻第１:石巻第２'!M120)</f>
        <v>0.8735</v>
      </c>
      <c r="N120" s="1">
        <f>SUM('石巻第１:石巻第２'!N120)</f>
        <v>1.3079</v>
      </c>
      <c r="O120" s="1">
        <f>SUM('石巻第１:石巻第２'!O120)</f>
        <v>1.9183</v>
      </c>
      <c r="P120" s="8">
        <f>SUM('石巻第１:石巻第２'!P120)</f>
        <v>7.938700000000001</v>
      </c>
    </row>
    <row r="121" spans="1:16" ht="19.5" customHeight="1">
      <c r="A121" s="45"/>
      <c r="B121" s="383"/>
      <c r="C121" s="48" t="s">
        <v>18</v>
      </c>
      <c r="D121" s="2">
        <f>SUM('石巻第１:石巻第２'!D121)</f>
        <v>2108.421</v>
      </c>
      <c r="E121" s="2">
        <f>SUM('石巻第１:石巻第２'!E121)</f>
        <v>948.286</v>
      </c>
      <c r="F121" s="2">
        <f>SUM('石巻第１:石巻第２'!F121)</f>
        <v>917.069</v>
      </c>
      <c r="G121" s="2">
        <f>SUM('石巻第１:石巻第２'!G121)</f>
        <v>123.552</v>
      </c>
      <c r="H121" s="2">
        <f>SUM('石巻第１:石巻第２'!H121)</f>
        <v>86.497</v>
      </c>
      <c r="I121" s="2">
        <f>SUM('石巻第１:石巻第２'!I121)</f>
        <v>108.691</v>
      </c>
      <c r="J121" s="2"/>
      <c r="K121" s="2"/>
      <c r="L121" s="2"/>
      <c r="M121" s="2">
        <f>SUM('石巻第１:石巻第２'!M121)</f>
        <v>1755.625</v>
      </c>
      <c r="N121" s="2">
        <f>SUM('石巻第１:石巻第２'!N121)</f>
        <v>2415.864</v>
      </c>
      <c r="O121" s="2">
        <f>SUM('石巻第１:石巻第２'!O121)</f>
        <v>3480.158</v>
      </c>
      <c r="P121" s="9">
        <f>SUM('石巻第１:石巻第２'!P121)</f>
        <v>11944.162999999999</v>
      </c>
    </row>
    <row r="122" spans="1:16" ht="19.5" customHeight="1">
      <c r="A122" s="45"/>
      <c r="B122" s="382" t="s">
        <v>72</v>
      </c>
      <c r="C122" s="54" t="s">
        <v>16</v>
      </c>
      <c r="D122" s="1">
        <f>SUM('石巻第１:石巻第２'!D122)</f>
        <v>9.0535</v>
      </c>
      <c r="E122" s="1">
        <f>SUM('石巻第１:石巻第２'!E122)</f>
        <v>2.4142</v>
      </c>
      <c r="F122" s="1">
        <f>SUM('石巻第１:石巻第２'!F122)</f>
        <v>4.0209</v>
      </c>
      <c r="G122" s="1">
        <f>SUM('石巻第１:石巻第２'!G122)</f>
        <v>5.4731</v>
      </c>
      <c r="H122" s="1">
        <f>SUM('石巻第１:石巻第２'!H122)</f>
        <v>6.4275</v>
      </c>
      <c r="I122" s="1">
        <f>SUM('石巻第１:石巻第２'!I122)</f>
        <v>6.8934</v>
      </c>
      <c r="J122" s="1">
        <f>SUM('石巻第１:石巻第２'!J122)</f>
        <v>5.3789</v>
      </c>
      <c r="K122" s="1">
        <f>SUM('石巻第１:石巻第２'!K122)</f>
        <v>7.3527</v>
      </c>
      <c r="L122" s="1">
        <f>SUM('石巻第１:石巻第２'!L122)</f>
        <v>4.9709</v>
      </c>
      <c r="M122" s="1">
        <f>SUM('石巻第１:石巻第２'!M122)</f>
        <v>4.9984</v>
      </c>
      <c r="N122" s="1">
        <f>SUM('石巻第１:石巻第２'!N122)</f>
        <v>3.7377</v>
      </c>
      <c r="O122" s="1">
        <f>SUM('石巻第１:石巻第２'!O122)</f>
        <v>2.6402</v>
      </c>
      <c r="P122" s="8">
        <f>SUM('石巻第１:石巻第２'!P122)</f>
        <v>63.3614</v>
      </c>
    </row>
    <row r="123" spans="1:16" ht="19.5" customHeight="1">
      <c r="A123" s="45"/>
      <c r="B123" s="383"/>
      <c r="C123" s="48" t="s">
        <v>18</v>
      </c>
      <c r="D123" s="2">
        <f>SUM('石巻第１:石巻第２'!D123)</f>
        <v>1898.881</v>
      </c>
      <c r="E123" s="2">
        <f>SUM('石巻第１:石巻第２'!E123)</f>
        <v>1609.634</v>
      </c>
      <c r="F123" s="2">
        <f>SUM('石巻第１:石巻第２'!F123)</f>
        <v>2991.192</v>
      </c>
      <c r="G123" s="2">
        <f>SUM('石巻第１:石巻第２'!G123)</f>
        <v>3885.617</v>
      </c>
      <c r="H123" s="2">
        <f>SUM('石巻第１:石巻第２'!H123)</f>
        <v>4154.026</v>
      </c>
      <c r="I123" s="2">
        <f>SUM('石巻第１:石巻第２'!I123)</f>
        <v>5386.583</v>
      </c>
      <c r="J123" s="2">
        <f>SUM('石巻第１:石巻第２'!J123)</f>
        <v>3965.745</v>
      </c>
      <c r="K123" s="2">
        <f>SUM('石巻第１:石巻第２'!K123)</f>
        <v>3393.955</v>
      </c>
      <c r="L123" s="2">
        <f>SUM('石巻第１:石巻第２'!L123)</f>
        <v>3457.205</v>
      </c>
      <c r="M123" s="2">
        <f>SUM('石巻第１:石巻第２'!M123)</f>
        <v>3428.128</v>
      </c>
      <c r="N123" s="2">
        <f>SUM('石巻第１:石巻第２'!N123)</f>
        <v>2422.034</v>
      </c>
      <c r="O123" s="2">
        <f>SUM('石巻第１:石巻第２'!O123)</f>
        <v>2426.416</v>
      </c>
      <c r="P123" s="9">
        <f>SUM('石巻第１:石巻第２'!P123)</f>
        <v>39019.416</v>
      </c>
    </row>
    <row r="124" spans="1:16" ht="19.5" customHeight="1">
      <c r="A124" s="45" t="s">
        <v>23</v>
      </c>
      <c r="B124" s="382" t="s">
        <v>193</v>
      </c>
      <c r="C124" s="54" t="s">
        <v>16</v>
      </c>
      <c r="D124" s="1">
        <f>SUM('石巻第１:石巻第２'!D124)</f>
        <v>3.2954</v>
      </c>
      <c r="E124" s="1">
        <f>SUM('石巻第１:石巻第２'!E124)</f>
        <v>1.7599</v>
      </c>
      <c r="F124" s="1">
        <f>SUM('石巻第１:石巻第２'!F124)</f>
        <v>1.0368</v>
      </c>
      <c r="G124" s="1">
        <f>SUM('石巻第１:石巻第２'!G124)</f>
        <v>0.7624</v>
      </c>
      <c r="H124" s="1">
        <f>SUM('石巻第１:石巻第２'!H124)</f>
        <v>2.6828</v>
      </c>
      <c r="I124" s="1">
        <f>SUM('石巻第１:石巻第２'!I124)</f>
        <v>2.7769</v>
      </c>
      <c r="J124" s="1">
        <f>SUM('石巻第１:石巻第２'!J124)</f>
        <v>32.3255</v>
      </c>
      <c r="K124" s="1">
        <f>SUM('石巻第１:石巻第２'!K124)</f>
        <v>13.2345</v>
      </c>
      <c r="L124" s="1">
        <f>SUM('石巻第１:石巻第２'!L124)</f>
        <v>1.106</v>
      </c>
      <c r="M124" s="1">
        <f>SUM('石巻第１:石巻第２'!M124)</f>
        <v>0.7158</v>
      </c>
      <c r="N124" s="1">
        <f>SUM('石巻第１:石巻第２'!N124)</f>
        <v>3.3146</v>
      </c>
      <c r="O124" s="1">
        <f>SUM('石巻第１:石巻第２'!O124)</f>
        <v>3.5352</v>
      </c>
      <c r="P124" s="8">
        <f>SUM('石巻第１:石巻第２'!P124)</f>
        <v>66.5458</v>
      </c>
    </row>
    <row r="125" spans="1:16" ht="19.5" customHeight="1">
      <c r="A125" s="50"/>
      <c r="B125" s="383"/>
      <c r="C125" s="48" t="s">
        <v>18</v>
      </c>
      <c r="D125" s="2">
        <f>SUM('石巻第１:石巻第２'!D125)</f>
        <v>8978.684</v>
      </c>
      <c r="E125" s="2">
        <f>SUM('石巻第１:石巻第２'!E125)</f>
        <v>3264.674</v>
      </c>
      <c r="F125" s="2">
        <f>SUM('石巻第１:石巻第２'!F125)</f>
        <v>749.586</v>
      </c>
      <c r="G125" s="2">
        <f>SUM('石巻第１:石巻第２'!G125)</f>
        <v>565.637</v>
      </c>
      <c r="H125" s="2">
        <f>SUM('石巻第１:石巻第２'!H125)</f>
        <v>7597.604</v>
      </c>
      <c r="I125" s="2">
        <f>SUM('石巻第１:石巻第２'!I125)</f>
        <v>6851.919</v>
      </c>
      <c r="J125" s="2">
        <f>SUM('石巻第１:石巻第２'!J125)</f>
        <v>16230.522</v>
      </c>
      <c r="K125" s="2">
        <f>SUM('石巻第１:石巻第２'!K125)</f>
        <v>5127.796</v>
      </c>
      <c r="L125" s="2">
        <f>SUM('石巻第１:石巻第２'!L125)</f>
        <v>708.727</v>
      </c>
      <c r="M125" s="2">
        <f>SUM('石巻第１:石巻第２'!M125)</f>
        <v>560.915</v>
      </c>
      <c r="N125" s="2">
        <f>SUM('石巻第１:石巻第２'!N125)</f>
        <v>12758.217</v>
      </c>
      <c r="O125" s="2">
        <f>SUM('石巻第１:石巻第２'!O125)</f>
        <v>8881.205</v>
      </c>
      <c r="P125" s="9">
        <f>SUM('石巻第１:石巻第２'!P125)</f>
        <v>72275.486</v>
      </c>
    </row>
    <row r="126" spans="1:16" ht="19.5" customHeight="1">
      <c r="A126" s="50"/>
      <c r="B126" s="47" t="s">
        <v>20</v>
      </c>
      <c r="C126" s="54" t="s">
        <v>16</v>
      </c>
      <c r="D126" s="1">
        <f>SUM('石巻第１:石巻第２'!D126)</f>
        <v>0.031</v>
      </c>
      <c r="E126" s="1">
        <f>SUM('石巻第１:石巻第２'!E126)</f>
        <v>0.7057</v>
      </c>
      <c r="F126" s="1">
        <f>SUM('石巻第１:石巻第２'!F126)</f>
        <v>15.9095</v>
      </c>
      <c r="G126" s="1">
        <f>SUM('石巻第１:石巻第２'!G126)</f>
        <v>13.4884</v>
      </c>
      <c r="H126" s="1">
        <f>SUM('石巻第１:石巻第２'!H126)</f>
        <v>17.7601</v>
      </c>
      <c r="I126" s="1">
        <f>SUM('石巻第１:石巻第２'!I126)</f>
        <v>20.1926</v>
      </c>
      <c r="J126" s="1">
        <f>SUM('石巻第１:石巻第２'!J126)</f>
        <v>16.1851</v>
      </c>
      <c r="K126" s="1">
        <f>SUM('石巻第１:石巻第２'!K126)</f>
        <v>5.8874</v>
      </c>
      <c r="L126" s="1">
        <f>SUM('石巻第１:石巻第２'!L126)</f>
        <v>0.3238</v>
      </c>
      <c r="M126" s="1">
        <f>SUM('石巻第１:石巻第２'!M126)</f>
        <v>0.0275</v>
      </c>
      <c r="N126" s="1">
        <f>SUM('石巻第１:石巻第２'!N126)</f>
        <v>0.028</v>
      </c>
      <c r="O126" s="1">
        <f>SUM('石巻第１:石巻第２'!O126)</f>
        <v>0.0595</v>
      </c>
      <c r="P126" s="8">
        <f>SUM('石巻第１:石巻第２'!P126)</f>
        <v>90.59860000000002</v>
      </c>
    </row>
    <row r="127" spans="1:16" ht="19.5" customHeight="1">
      <c r="A127" s="50"/>
      <c r="B127" s="48" t="s">
        <v>73</v>
      </c>
      <c r="C127" s="48" t="s">
        <v>18</v>
      </c>
      <c r="D127" s="2">
        <f>SUM('石巻第１:石巻第２'!D127)</f>
        <v>633.15</v>
      </c>
      <c r="E127" s="2">
        <f>SUM('石巻第１:石巻第２'!E127)</f>
        <v>612.57</v>
      </c>
      <c r="F127" s="2">
        <f>SUM('石巻第１:石巻第２'!F127)</f>
        <v>4648.278</v>
      </c>
      <c r="G127" s="2">
        <f>SUM('石巻第１:石巻第２'!G127)</f>
        <v>6057.235</v>
      </c>
      <c r="H127" s="2">
        <f>SUM('石巻第１:石巻第２'!H127)</f>
        <v>7352.802</v>
      </c>
      <c r="I127" s="2">
        <f>SUM('石巻第１:石巻第２'!I127)</f>
        <v>8275.94</v>
      </c>
      <c r="J127" s="2">
        <f>SUM('石巻第１:石巻第２'!J127)</f>
        <v>8042.209</v>
      </c>
      <c r="K127" s="2">
        <f>SUM('石巻第１:石巻第２'!K127)</f>
        <v>5753.744</v>
      </c>
      <c r="L127" s="2">
        <f>SUM('石巻第１:石巻第２'!L127)</f>
        <v>869.551</v>
      </c>
      <c r="M127" s="2">
        <f>SUM('石巻第１:石巻第２'!M127)</f>
        <v>380.808</v>
      </c>
      <c r="N127" s="2">
        <f>SUM('石巻第１:石巻第２'!N127)</f>
        <v>667.44</v>
      </c>
      <c r="O127" s="2">
        <f>SUM('石巻第１:石巻第２'!O127)</f>
        <v>1175.861</v>
      </c>
      <c r="P127" s="9">
        <f>SUM('石巻第１:石巻第２'!P127)</f>
        <v>44469.587999999996</v>
      </c>
    </row>
    <row r="128" spans="1:16" s="38" customFormat="1" ht="19.5" customHeight="1">
      <c r="A128" s="50"/>
      <c r="B128" s="380" t="s">
        <v>107</v>
      </c>
      <c r="C128" s="54" t="s">
        <v>16</v>
      </c>
      <c r="D128" s="1">
        <f>SUM('石巻第１:石巻第２'!D128)</f>
        <v>629.5845</v>
      </c>
      <c r="E128" s="1">
        <f>SUM('石巻第１:石巻第２'!E128)</f>
        <v>183.5245</v>
      </c>
      <c r="F128" s="1">
        <f>SUM('石巻第１:石巻第２'!F128)</f>
        <v>139.4272</v>
      </c>
      <c r="G128" s="1">
        <f>SUM('石巻第１:石巻第２'!G128)</f>
        <v>130.7783</v>
      </c>
      <c r="H128" s="1">
        <f>SUM('石巻第１:石巻第２'!H128)</f>
        <v>155.25599999999997</v>
      </c>
      <c r="I128" s="1">
        <f>SUM('石巻第１:石巻第２'!I128)</f>
        <v>188.0336</v>
      </c>
      <c r="J128" s="1">
        <f>SUM('石巻第１:石巻第２'!J128)</f>
        <v>128.5833</v>
      </c>
      <c r="K128" s="1">
        <f>SUM('石巻第１:石巻第２'!K128)</f>
        <v>84.13340000000001</v>
      </c>
      <c r="L128" s="83">
        <f>SUM('石巻第１:石巻第２'!L128)</f>
        <v>651.2765999999999</v>
      </c>
      <c r="M128" s="83">
        <f>SUM('石巻第１:石巻第２'!M128)</f>
        <v>1224.3012999999996</v>
      </c>
      <c r="N128" s="83">
        <f>SUM('石巻第１:石巻第２'!N128)</f>
        <v>2044.3675999999998</v>
      </c>
      <c r="O128" s="5">
        <f>SUM('石巻第１:石巻第２'!O128)</f>
        <v>1208.8224000000002</v>
      </c>
      <c r="P128" s="15">
        <f>SUM('石巻第１:石巻第２'!P128)</f>
        <v>6768.088699999999</v>
      </c>
    </row>
    <row r="129" spans="1:16" s="38" customFormat="1" ht="19.5" customHeight="1">
      <c r="A129" s="49"/>
      <c r="B129" s="381"/>
      <c r="C129" s="48" t="s">
        <v>18</v>
      </c>
      <c r="D129" s="2">
        <f>SUM('石巻第１:石巻第２'!D129)</f>
        <v>213575.48100000003</v>
      </c>
      <c r="E129" s="2">
        <f>SUM('石巻第１:石巻第２'!E129)</f>
        <v>81770.38600000001</v>
      </c>
      <c r="F129" s="2">
        <f>SUM('石巻第１:石巻第２'!F129)</f>
        <v>79094.556</v>
      </c>
      <c r="G129" s="2">
        <f>SUM('石巻第１:石巻第２'!G129)</f>
        <v>78349.36600000001</v>
      </c>
      <c r="H129" s="2">
        <f>SUM('石巻第１:石巻第２'!H129)</f>
        <v>113678.107</v>
      </c>
      <c r="I129" s="2">
        <f>SUM('石巻第１:石巻第２'!I129)</f>
        <v>70818.756</v>
      </c>
      <c r="J129" s="2">
        <f>SUM('石巻第１:石巻第２'!J129)</f>
        <v>63187.615000000005</v>
      </c>
      <c r="K129" s="2">
        <f>SUM('石巻第１:石巻第２'!K129)</f>
        <v>36963.064000000006</v>
      </c>
      <c r="L129" s="34">
        <f>SUM('石巻第１:石巻第２'!L129)</f>
        <v>161069.399</v>
      </c>
      <c r="M129" s="34">
        <f>SUM('石巻第１:石巻第２'!M129)</f>
        <v>279892.619</v>
      </c>
      <c r="N129" s="34">
        <f>SUM('石巻第１:石巻第２'!N129)</f>
        <v>498944.206</v>
      </c>
      <c r="O129" s="34">
        <f>SUM('石巻第１:石巻第２'!O129)</f>
        <v>367640.6400000001</v>
      </c>
      <c r="P129" s="92">
        <f>SUM('石巻第１:石巻第２'!P129)</f>
        <v>2044984.195</v>
      </c>
    </row>
    <row r="130" spans="1:16" ht="19.5" customHeight="1">
      <c r="A130" s="44" t="s">
        <v>0</v>
      </c>
      <c r="B130" s="382" t="s">
        <v>74</v>
      </c>
      <c r="C130" s="54" t="s">
        <v>16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8"/>
    </row>
    <row r="131" spans="1:16" ht="19.5" customHeight="1">
      <c r="A131" s="44" t="s">
        <v>0</v>
      </c>
      <c r="B131" s="383"/>
      <c r="C131" s="48" t="s">
        <v>18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"/>
    </row>
    <row r="132" spans="1:16" ht="19.5" customHeight="1">
      <c r="A132" s="45" t="s">
        <v>75</v>
      </c>
      <c r="B132" s="382" t="s">
        <v>76</v>
      </c>
      <c r="C132" s="54" t="s">
        <v>16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8"/>
    </row>
    <row r="133" spans="1:16" ht="19.5" customHeight="1">
      <c r="A133" s="45"/>
      <c r="B133" s="383"/>
      <c r="C133" s="139" t="s">
        <v>18</v>
      </c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17"/>
    </row>
    <row r="134" spans="1:16" ht="19.5" customHeight="1">
      <c r="A134" s="45" t="s">
        <v>77</v>
      </c>
      <c r="B134" s="47" t="s">
        <v>20</v>
      </c>
      <c r="C134" s="54" t="s">
        <v>16</v>
      </c>
      <c r="D134" s="1">
        <f>SUM('石巻第１:石巻第２'!D134)</f>
        <v>6.1622</v>
      </c>
      <c r="E134" s="1">
        <f>SUM('石巻第１:石巻第２'!E134)</f>
        <v>5.4853</v>
      </c>
      <c r="F134" s="1">
        <f>SUM('石巻第１:石巻第２'!F134)</f>
        <v>6.2967</v>
      </c>
      <c r="G134" s="1">
        <f>SUM('石巻第１:石巻第２'!G134)</f>
        <v>1.6686</v>
      </c>
      <c r="H134" s="1">
        <f>SUM('石巻第１:石巻第２'!H134)</f>
        <v>0.1196</v>
      </c>
      <c r="I134" s="1">
        <f>SUM('石巻第１:石巻第２'!I134)</f>
        <v>0.0995</v>
      </c>
      <c r="J134" s="1"/>
      <c r="K134" s="1">
        <f>SUM('石巻第１:石巻第２'!K134)</f>
        <v>0.015</v>
      </c>
      <c r="L134" s="1">
        <f>SUM('石巻第１:石巻第２'!L134)</f>
        <v>0.0473</v>
      </c>
      <c r="M134" s="1">
        <f>SUM('石巻第１:石巻第２'!M134)</f>
        <v>0.008</v>
      </c>
      <c r="N134" s="1">
        <f>SUM('石巻第１:石巻第２'!N134)</f>
        <v>1.6141</v>
      </c>
      <c r="O134" s="1">
        <f>SUM('石巻第１:石巻第２'!O134)</f>
        <v>1.6957</v>
      </c>
      <c r="P134" s="194">
        <f>SUM('石巻第１:石巻第２'!P134)</f>
        <v>23.212</v>
      </c>
    </row>
    <row r="135" spans="1:16" ht="19.5" customHeight="1">
      <c r="A135" s="45"/>
      <c r="B135" s="47" t="s">
        <v>178</v>
      </c>
      <c r="C135" s="54" t="s">
        <v>79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8"/>
    </row>
    <row r="136" spans="1:16" ht="19.5" customHeight="1">
      <c r="A136" s="45" t="s">
        <v>23</v>
      </c>
      <c r="B136" s="2"/>
      <c r="C136" s="48" t="s">
        <v>18</v>
      </c>
      <c r="D136" s="2">
        <f>SUM('石巻第１:石巻第２'!D136)</f>
        <v>2905.057</v>
      </c>
      <c r="E136" s="2">
        <f>SUM('石巻第１:石巻第２'!E136)</f>
        <v>2656.853</v>
      </c>
      <c r="F136" s="2">
        <f>SUM('石巻第１:石巻第２'!F136)</f>
        <v>3901.741</v>
      </c>
      <c r="G136" s="2">
        <f>SUM('石巻第１:石巻第２'!G136)</f>
        <v>1583.908</v>
      </c>
      <c r="H136" s="2">
        <f>SUM('石巻第１:石巻第２'!H136)</f>
        <v>261.835</v>
      </c>
      <c r="I136" s="2">
        <f>SUM('石巻第１:石巻第２'!I136)</f>
        <v>94.251</v>
      </c>
      <c r="J136" s="2"/>
      <c r="K136" s="2">
        <f>SUM('石巻第１:石巻第２'!K136)</f>
        <v>20.25</v>
      </c>
      <c r="L136" s="2">
        <f>SUM('石巻第１:石巻第２'!L136)</f>
        <v>42.444</v>
      </c>
      <c r="M136" s="2">
        <f>SUM('石巻第１:石巻第２'!M136)</f>
        <v>7.344</v>
      </c>
      <c r="N136" s="2">
        <f>SUM('石巻第１:石巻第２'!N136)</f>
        <v>320.317</v>
      </c>
      <c r="O136" s="2">
        <f>SUM('石巻第１:石巻第２'!O136)</f>
        <v>361.422</v>
      </c>
      <c r="P136" s="9">
        <f>SUM('石巻第１:石巻第２'!P136)</f>
        <v>12155.421999999997</v>
      </c>
    </row>
    <row r="137" spans="1:16" s="38" customFormat="1" ht="19.5" customHeight="1">
      <c r="A137" s="50"/>
      <c r="B137" s="55" t="s">
        <v>0</v>
      </c>
      <c r="C137" s="140" t="s">
        <v>16</v>
      </c>
      <c r="D137" s="201">
        <f>SUM('石巻第１:石巻第２'!D137)</f>
        <v>6.1622</v>
      </c>
      <c r="E137" s="201">
        <f>SUM('石巻第１:石巻第２'!E137)</f>
        <v>5.4853</v>
      </c>
      <c r="F137" s="201">
        <f>SUM('石巻第１:石巻第２'!F137)</f>
        <v>6.2967</v>
      </c>
      <c r="G137" s="201">
        <f>SUM('石巻第１:石巻第２'!G137)</f>
        <v>1.6686</v>
      </c>
      <c r="H137" s="201">
        <f>SUM('石巻第１:石巻第２'!H137)</f>
        <v>0.1196</v>
      </c>
      <c r="I137" s="201">
        <f>SUM('石巻第１:石巻第２'!I137)</f>
        <v>0.0995</v>
      </c>
      <c r="J137" s="201"/>
      <c r="K137" s="201">
        <f>SUM('石巻第１:石巻第２'!K137)</f>
        <v>0.015</v>
      </c>
      <c r="L137" s="199">
        <f>SUM('石巻第１:石巻第２'!L137)</f>
        <v>0.0473</v>
      </c>
      <c r="M137" s="199">
        <f>SUM('石巻第１:石巻第２'!M137)</f>
        <v>0.008</v>
      </c>
      <c r="N137" s="199">
        <f>SUM('石巻第１:石巻第２'!N137)</f>
        <v>1.6141</v>
      </c>
      <c r="O137" s="199">
        <f>SUM('石巻第１:石巻第２'!O137)</f>
        <v>1.6957</v>
      </c>
      <c r="P137" s="200">
        <f>SUM('石巻第１:石巻第２'!P137)</f>
        <v>23.212</v>
      </c>
    </row>
    <row r="138" spans="1:16" s="38" customFormat="1" ht="19.5" customHeight="1">
      <c r="A138" s="50"/>
      <c r="B138" s="56" t="s">
        <v>107</v>
      </c>
      <c r="C138" s="54" t="s">
        <v>79</v>
      </c>
      <c r="D138" s="1"/>
      <c r="E138" s="1"/>
      <c r="F138" s="1"/>
      <c r="G138" s="1"/>
      <c r="H138" s="1"/>
      <c r="I138" s="1"/>
      <c r="J138" s="1"/>
      <c r="K138" s="1"/>
      <c r="L138" s="5"/>
      <c r="M138" s="5"/>
      <c r="N138" s="5"/>
      <c r="O138" s="5"/>
      <c r="P138" s="15"/>
    </row>
    <row r="139" spans="1:16" s="38" customFormat="1" ht="19.5" customHeight="1">
      <c r="A139" s="49"/>
      <c r="B139" s="2"/>
      <c r="C139" s="48" t="s">
        <v>18</v>
      </c>
      <c r="D139" s="2">
        <f>SUM('石巻第１:石巻第２'!D139)</f>
        <v>2905.057</v>
      </c>
      <c r="E139" s="2">
        <f>SUM('石巻第１:石巻第２'!E139)</f>
        <v>2656.853</v>
      </c>
      <c r="F139" s="2">
        <f>SUM('石巻第１:石巻第２'!F139)</f>
        <v>3901.741</v>
      </c>
      <c r="G139" s="2">
        <f>SUM('石巻第１:石巻第２'!G139)</f>
        <v>1583.908</v>
      </c>
      <c r="H139" s="2">
        <f>SUM('石巻第１:石巻第２'!H139)</f>
        <v>261.835</v>
      </c>
      <c r="I139" s="2">
        <f>SUM('石巻第１:石巻第２'!I139)</f>
        <v>94.251</v>
      </c>
      <c r="J139" s="2"/>
      <c r="K139" s="2">
        <f>SUM('石巻第１:石巻第２'!K139)</f>
        <v>20.25</v>
      </c>
      <c r="L139" s="34">
        <f>SUM('石巻第１:石巻第２'!L139)</f>
        <v>42.444</v>
      </c>
      <c r="M139" s="34">
        <f>SUM('石巻第１:石巻第２'!M139)</f>
        <v>7.344</v>
      </c>
      <c r="N139" s="34">
        <f>SUM('石巻第１:石巻第２'!N139)</f>
        <v>320.317</v>
      </c>
      <c r="O139" s="34">
        <f>SUM('石巻第１:石巻第２'!O139)</f>
        <v>361.422</v>
      </c>
      <c r="P139" s="92">
        <f>SUM('石巻第１:石巻第２'!P139)</f>
        <v>12155.421999999997</v>
      </c>
    </row>
    <row r="140" spans="1:16" s="60" customFormat="1" ht="19.5" customHeight="1">
      <c r="A140" s="57"/>
      <c r="B140" s="58" t="s">
        <v>0</v>
      </c>
      <c r="C140" s="198" t="s">
        <v>16</v>
      </c>
      <c r="D140" s="262">
        <f>SUM('石巻第１:石巻第２'!D140)</f>
        <v>8804.3771</v>
      </c>
      <c r="E140" s="262">
        <f>SUM('石巻第１:石巻第２'!E140)</f>
        <v>5500.6175</v>
      </c>
      <c r="F140" s="262">
        <f>SUM('石巻第１:石巻第２'!F140)</f>
        <v>4013.8989</v>
      </c>
      <c r="G140" s="263">
        <f>SUM('石巻第１:石巻第２'!G140)</f>
        <v>5471.383849999999</v>
      </c>
      <c r="H140" s="206">
        <f>SUM('石巻第１:石巻第２'!H140)</f>
        <v>7171.8591</v>
      </c>
      <c r="I140" s="262">
        <f>SUM('石巻第１:石巻第２'!I140)</f>
        <v>11405.6237</v>
      </c>
      <c r="J140" s="262">
        <f>SUM('石巻第１:石巻第２'!J140)</f>
        <v>10018.99107</v>
      </c>
      <c r="K140" s="262">
        <f>SUM('石巻第１:石巻第２'!K140)</f>
        <v>6818.2666</v>
      </c>
      <c r="L140" s="262">
        <f>SUM('石巻第１:石巻第２'!L140)</f>
        <v>5611.2101999999995</v>
      </c>
      <c r="M140" s="264">
        <f>SUM('石巻第１:石巻第２'!M140)</f>
        <v>9665.595</v>
      </c>
      <c r="N140" s="264">
        <f>SUM('石巻第１:石巻第２'!N140)</f>
        <v>12391.947099999998</v>
      </c>
      <c r="O140" s="262">
        <f>SUM('石巻第１:石巻第２'!O140)</f>
        <v>10207.626400000001</v>
      </c>
      <c r="P140" s="200">
        <f>SUM('石巻第１:石巻第２'!P140)</f>
        <v>97081.39652000001</v>
      </c>
    </row>
    <row r="141" spans="1:16" s="60" customFormat="1" ht="19.5" customHeight="1">
      <c r="A141" s="57"/>
      <c r="B141" s="61" t="s">
        <v>220</v>
      </c>
      <c r="C141" s="62" t="s">
        <v>79</v>
      </c>
      <c r="D141" s="218"/>
      <c r="E141" s="218"/>
      <c r="F141" s="265"/>
      <c r="G141" s="266"/>
      <c r="H141" s="122"/>
      <c r="I141" s="218"/>
      <c r="J141" s="218"/>
      <c r="K141" s="218"/>
      <c r="L141" s="218"/>
      <c r="M141" s="217"/>
      <c r="N141" s="217"/>
      <c r="O141" s="218"/>
      <c r="P141" s="15"/>
    </row>
    <row r="142" spans="1:16" s="60" customFormat="1" ht="19.5" customHeight="1" thickBot="1">
      <c r="A142" s="63"/>
      <c r="B142" s="64"/>
      <c r="C142" s="65" t="s">
        <v>18</v>
      </c>
      <c r="D142" s="257">
        <f>SUM('石巻第１:石巻第２'!D142)</f>
        <v>1232055.613</v>
      </c>
      <c r="E142" s="257">
        <f>SUM('石巻第１:石巻第２'!E142)</f>
        <v>709540.3990000001</v>
      </c>
      <c r="F142" s="258">
        <f>SUM('石巻第１:石巻第２'!F142)</f>
        <v>670524.4389999999</v>
      </c>
      <c r="G142" s="259">
        <f>SUM('石巻第１:石巻第２'!G142)</f>
        <v>1005535.6779999998</v>
      </c>
      <c r="H142" s="267">
        <f>SUM('石巻第１:石巻第２'!H142)</f>
        <v>1350670.888</v>
      </c>
      <c r="I142" s="257">
        <f>SUM('石巻第１:石巻第２'!I142)</f>
        <v>2060463.993</v>
      </c>
      <c r="J142" s="257">
        <f>SUM('石巻第１:石巻第２'!J142)</f>
        <v>2454493.5090000005</v>
      </c>
      <c r="K142" s="257">
        <f>SUM('石巻第１:石巻第２'!K142)</f>
        <v>1416232.5040000004</v>
      </c>
      <c r="L142" s="257">
        <f>SUM('石巻第１:石巻第２'!L142)</f>
        <v>1004808.9890000001</v>
      </c>
      <c r="M142" s="256">
        <f>SUM('石巻第１:石巻第２'!M142)</f>
        <v>1695378.848</v>
      </c>
      <c r="N142" s="256">
        <f>SUM('石巻第１:石巻第２'!N142)</f>
        <v>1754994.375</v>
      </c>
      <c r="O142" s="257">
        <f>SUM('石巻第１:石巻第２'!O142)</f>
        <v>1476855.3750000002</v>
      </c>
      <c r="P142" s="7">
        <f>SUM('石巻第１:石巻第２'!P142)</f>
        <v>16831554.610000003</v>
      </c>
    </row>
    <row r="143" spans="15:16" ht="18.75">
      <c r="O143" s="66"/>
      <c r="P143" s="67" t="s">
        <v>92</v>
      </c>
    </row>
  </sheetData>
  <sheetProtection/>
  <mergeCells count="52">
    <mergeCell ref="A1:P1"/>
    <mergeCell ref="B5:B6"/>
    <mergeCell ref="B9:B10"/>
    <mergeCell ref="A11:B12"/>
    <mergeCell ref="B13:B14"/>
    <mergeCell ref="B31:B32"/>
    <mergeCell ref="B33:B34"/>
    <mergeCell ref="B15:B16"/>
    <mergeCell ref="B17:B18"/>
    <mergeCell ref="B21:B22"/>
    <mergeCell ref="B23:B24"/>
    <mergeCell ref="B25:B26"/>
    <mergeCell ref="B29:B30"/>
    <mergeCell ref="B37:B38"/>
    <mergeCell ref="A39:B40"/>
    <mergeCell ref="A41:B42"/>
    <mergeCell ref="A43:B44"/>
    <mergeCell ref="A45:B46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B88:B89"/>
    <mergeCell ref="A90:B91"/>
    <mergeCell ref="A92:B93"/>
    <mergeCell ref="A94:B95"/>
    <mergeCell ref="A96:B97"/>
    <mergeCell ref="B130:B131"/>
    <mergeCell ref="A98:B99"/>
    <mergeCell ref="A100:B101"/>
    <mergeCell ref="A102:B103"/>
    <mergeCell ref="A104:B105"/>
    <mergeCell ref="B106:B107"/>
    <mergeCell ref="B108:B109"/>
    <mergeCell ref="B132:B133"/>
    <mergeCell ref="B118:B119"/>
    <mergeCell ref="B120:B121"/>
    <mergeCell ref="B122:B123"/>
    <mergeCell ref="B124:B125"/>
    <mergeCell ref="B110:B111"/>
    <mergeCell ref="B112:B113"/>
    <mergeCell ref="B114:B115"/>
    <mergeCell ref="B116:B117"/>
    <mergeCell ref="B128:B129"/>
  </mergeCells>
  <printOptions/>
  <pageMargins left="0.7" right="0.7" top="0.75" bottom="0.75" header="0.3" footer="0.3"/>
  <pageSetup firstPageNumber="45" useFirstPageNumber="1" fitToHeight="2" fitToWidth="1" horizontalDpi="600" verticalDpi="600" orientation="landscape" paperSize="9" scale="36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="50" zoomScaleNormal="50" zoomScalePageLayoutView="0" workbookViewId="0" topLeftCell="A1">
      <pane xSplit="3" ySplit="4" topLeftCell="D5" activePane="bottomRight" state="frozen"/>
      <selection pane="topLeft" activeCell="D1" sqref="D1:O16384"/>
      <selection pane="topRight" activeCell="D1" sqref="D1:O16384"/>
      <selection pane="bottomLeft" activeCell="D1" sqref="D1:O16384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4" width="22.625" style="70" customWidth="1"/>
    <col min="5" max="7" width="22.625" style="11" customWidth="1"/>
    <col min="8" max="8" width="22.625" style="70" customWidth="1"/>
    <col min="9" max="15" width="22.625" style="11" customWidth="1"/>
    <col min="16" max="16" width="25.625" style="37" customWidth="1"/>
    <col min="17" max="16384" width="9.00390625" style="11" customWidth="1"/>
  </cols>
  <sheetData>
    <row r="1" spans="1:16" ht="30.75" customHeight="1">
      <c r="A1" s="375" t="s">
        <v>104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ht="30.7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5" ht="19.5" customHeight="1" thickBot="1">
      <c r="A3" s="12"/>
      <c r="B3" s="39" t="s">
        <v>1</v>
      </c>
      <c r="C3" s="12"/>
      <c r="O3" s="12" t="s">
        <v>90</v>
      </c>
    </row>
    <row r="4" spans="1:16" ht="19.5" customHeight="1">
      <c r="A4" s="40"/>
      <c r="B4" s="41"/>
      <c r="C4" s="41"/>
      <c r="D4" s="82" t="s">
        <v>2</v>
      </c>
      <c r="E4" s="42" t="s">
        <v>3</v>
      </c>
      <c r="F4" s="42" t="s">
        <v>4</v>
      </c>
      <c r="G4" s="42" t="s">
        <v>5</v>
      </c>
      <c r="H4" s="82" t="s">
        <v>6</v>
      </c>
      <c r="I4" s="42" t="s">
        <v>7</v>
      </c>
      <c r="J4" s="42" t="s">
        <v>8</v>
      </c>
      <c r="K4" s="42" t="s">
        <v>9</v>
      </c>
      <c r="L4" s="42" t="s">
        <v>10</v>
      </c>
      <c r="M4" s="42" t="s">
        <v>11</v>
      </c>
      <c r="N4" s="42" t="s">
        <v>12</v>
      </c>
      <c r="O4" s="42" t="s">
        <v>13</v>
      </c>
      <c r="P4" s="43" t="s">
        <v>14</v>
      </c>
    </row>
    <row r="5" spans="1:16" ht="19.5" customHeight="1">
      <c r="A5" s="44" t="s">
        <v>0</v>
      </c>
      <c r="B5" s="382" t="s">
        <v>15</v>
      </c>
      <c r="C5" s="54" t="s">
        <v>16</v>
      </c>
      <c r="D5" s="106">
        <v>0.02</v>
      </c>
      <c r="E5" s="99"/>
      <c r="F5" s="99"/>
      <c r="G5" s="143">
        <v>0.01</v>
      </c>
      <c r="H5" s="157"/>
      <c r="I5" s="116">
        <v>0.07</v>
      </c>
      <c r="J5" s="99">
        <v>0.03</v>
      </c>
      <c r="K5" s="99"/>
      <c r="L5" s="99"/>
      <c r="M5" s="106"/>
      <c r="N5" s="102"/>
      <c r="O5" s="99"/>
      <c r="P5" s="8">
        <f aca="true" t="shared" si="0" ref="P5:P10">SUM(D5:O5)</f>
        <v>0.13</v>
      </c>
    </row>
    <row r="6" spans="1:16" ht="19.5" customHeight="1">
      <c r="A6" s="45" t="s">
        <v>17</v>
      </c>
      <c r="B6" s="383"/>
      <c r="C6" s="48" t="s">
        <v>18</v>
      </c>
      <c r="D6" s="107">
        <v>4.200000943708666</v>
      </c>
      <c r="E6" s="100"/>
      <c r="F6" s="100"/>
      <c r="G6" s="100">
        <v>2.159999963759174</v>
      </c>
      <c r="H6" s="158"/>
      <c r="I6" s="33">
        <v>51.30000106748231</v>
      </c>
      <c r="J6" s="216">
        <v>21.059999902275003</v>
      </c>
      <c r="K6" s="100"/>
      <c r="L6" s="100"/>
      <c r="M6" s="107"/>
      <c r="N6" s="103"/>
      <c r="O6" s="216"/>
      <c r="P6" s="9">
        <f t="shared" si="0"/>
        <v>78.72000187722516</v>
      </c>
    </row>
    <row r="7" spans="1:16" ht="19.5" customHeight="1">
      <c r="A7" s="45" t="s">
        <v>19</v>
      </c>
      <c r="B7" s="47" t="s">
        <v>20</v>
      </c>
      <c r="C7" s="54" t="s">
        <v>16</v>
      </c>
      <c r="D7" s="106"/>
      <c r="E7" s="99"/>
      <c r="F7" s="99"/>
      <c r="G7" s="99"/>
      <c r="H7" s="159"/>
      <c r="I7" s="123"/>
      <c r="J7" s="99"/>
      <c r="K7" s="99"/>
      <c r="L7" s="99"/>
      <c r="M7" s="106"/>
      <c r="N7" s="102"/>
      <c r="O7" s="99"/>
      <c r="P7" s="8"/>
    </row>
    <row r="8" spans="1:16" ht="19.5" customHeight="1">
      <c r="A8" s="45" t="s">
        <v>21</v>
      </c>
      <c r="B8" s="48" t="s">
        <v>22</v>
      </c>
      <c r="C8" s="48" t="s">
        <v>18</v>
      </c>
      <c r="D8" s="107"/>
      <c r="E8" s="100"/>
      <c r="F8" s="100"/>
      <c r="G8" s="100"/>
      <c r="H8" s="158"/>
      <c r="I8" s="124"/>
      <c r="J8" s="100"/>
      <c r="K8" s="100"/>
      <c r="L8" s="100"/>
      <c r="M8" s="107"/>
      <c r="N8" s="103"/>
      <c r="O8" s="100"/>
      <c r="P8" s="9"/>
    </row>
    <row r="9" spans="1:16" s="38" customFormat="1" ht="19.5" customHeight="1">
      <c r="A9" s="44" t="s">
        <v>23</v>
      </c>
      <c r="B9" s="380" t="s">
        <v>114</v>
      </c>
      <c r="C9" s="54" t="s">
        <v>16</v>
      </c>
      <c r="D9" s="217">
        <f>D5+D7</f>
        <v>0.02</v>
      </c>
      <c r="E9" s="217"/>
      <c r="F9" s="218"/>
      <c r="G9" s="218">
        <f>G5+G7</f>
        <v>0.01</v>
      </c>
      <c r="H9" s="28"/>
      <c r="I9" s="137">
        <f>I5+I7</f>
        <v>0.07</v>
      </c>
      <c r="J9" s="1">
        <f>J5+J7</f>
        <v>0.03</v>
      </c>
      <c r="K9" s="1"/>
      <c r="L9" s="5"/>
      <c r="M9" s="5"/>
      <c r="N9" s="5"/>
      <c r="O9" s="5"/>
      <c r="P9" s="8">
        <f t="shared" si="0"/>
        <v>0.13</v>
      </c>
    </row>
    <row r="10" spans="1:16" s="38" customFormat="1" ht="19.5" customHeight="1">
      <c r="A10" s="49"/>
      <c r="B10" s="381"/>
      <c r="C10" s="48" t="s">
        <v>18</v>
      </c>
      <c r="D10" s="219">
        <f>D6+D8</f>
        <v>4.200000943708666</v>
      </c>
      <c r="E10" s="219"/>
      <c r="F10" s="220"/>
      <c r="G10" s="220">
        <f>G6+G8</f>
        <v>2.159999963759174</v>
      </c>
      <c r="H10" s="86"/>
      <c r="I10" s="53">
        <f>I6+I8</f>
        <v>51.30000106748231</v>
      </c>
      <c r="J10" s="2">
        <f>J6+J8</f>
        <v>21.059999902275003</v>
      </c>
      <c r="K10" s="2"/>
      <c r="L10" s="34"/>
      <c r="M10" s="34"/>
      <c r="N10" s="34"/>
      <c r="O10" s="34"/>
      <c r="P10" s="9">
        <f t="shared" si="0"/>
        <v>78.72000187722516</v>
      </c>
    </row>
    <row r="11" spans="1:16" ht="19.5" customHeight="1">
      <c r="A11" s="376" t="s">
        <v>25</v>
      </c>
      <c r="B11" s="377"/>
      <c r="C11" s="54" t="s">
        <v>16</v>
      </c>
      <c r="D11" s="106">
        <v>0.021</v>
      </c>
      <c r="E11" s="99">
        <v>0.1606</v>
      </c>
      <c r="F11" s="99">
        <v>1.1706</v>
      </c>
      <c r="G11" s="99">
        <v>0.5813</v>
      </c>
      <c r="H11" s="159">
        <v>4.9533</v>
      </c>
      <c r="I11" s="123">
        <v>23.7164</v>
      </c>
      <c r="J11" s="99">
        <v>101.6201</v>
      </c>
      <c r="K11" s="99">
        <v>204.2889</v>
      </c>
      <c r="L11" s="99">
        <v>14.4575</v>
      </c>
      <c r="M11" s="106">
        <v>188.4041</v>
      </c>
      <c r="N11" s="102">
        <v>0.6636</v>
      </c>
      <c r="O11" s="99">
        <v>0.085</v>
      </c>
      <c r="P11" s="8">
        <f aca="true" t="shared" si="1" ref="P11:P34">SUM(D11:O11)</f>
        <v>540.1224</v>
      </c>
    </row>
    <row r="12" spans="1:16" ht="19.5" customHeight="1">
      <c r="A12" s="378"/>
      <c r="B12" s="379"/>
      <c r="C12" s="48" t="s">
        <v>18</v>
      </c>
      <c r="D12" s="107">
        <v>1.7640003963576398</v>
      </c>
      <c r="E12" s="100">
        <v>58.086023972691784</v>
      </c>
      <c r="F12" s="100">
        <v>344.74025592001</v>
      </c>
      <c r="G12" s="100">
        <v>217.0454363583768</v>
      </c>
      <c r="H12" s="160">
        <v>1564.1262174279698</v>
      </c>
      <c r="I12" s="104">
        <v>4848.906340899057</v>
      </c>
      <c r="J12" s="216">
        <v>28781.28706644581</v>
      </c>
      <c r="K12" s="100">
        <v>60857.62846761992</v>
      </c>
      <c r="L12" s="100">
        <v>6178.521139684005</v>
      </c>
      <c r="M12" s="107">
        <v>58651.60935106473</v>
      </c>
      <c r="N12" s="221">
        <v>63.67680069430492</v>
      </c>
      <c r="O12" s="216">
        <v>9.812879908949247</v>
      </c>
      <c r="P12" s="9">
        <f t="shared" si="1"/>
        <v>161577.2039803922</v>
      </c>
    </row>
    <row r="13" spans="1:16" ht="19.5" customHeight="1">
      <c r="A13" s="50"/>
      <c r="B13" s="382" t="s">
        <v>26</v>
      </c>
      <c r="C13" s="54" t="s">
        <v>16</v>
      </c>
      <c r="D13" s="106">
        <v>3.5734</v>
      </c>
      <c r="E13" s="99">
        <v>3.6002</v>
      </c>
      <c r="F13" s="99">
        <v>6.207</v>
      </c>
      <c r="G13" s="99">
        <v>5.6078</v>
      </c>
      <c r="H13" s="159">
        <v>4.9836</v>
      </c>
      <c r="I13" s="116">
        <v>168.3553</v>
      </c>
      <c r="J13" s="99">
        <v>5.6084</v>
      </c>
      <c r="K13" s="99">
        <v>45.493</v>
      </c>
      <c r="L13" s="99">
        <v>4.745</v>
      </c>
      <c r="M13" s="106">
        <v>3.4918</v>
      </c>
      <c r="N13" s="102">
        <v>2.7522</v>
      </c>
      <c r="O13" s="99">
        <v>5.786</v>
      </c>
      <c r="P13" s="8">
        <f t="shared" si="1"/>
        <v>260.20369999999997</v>
      </c>
    </row>
    <row r="14" spans="1:16" ht="19.5" customHeight="1">
      <c r="A14" s="44" t="s">
        <v>0</v>
      </c>
      <c r="B14" s="383"/>
      <c r="C14" s="48" t="s">
        <v>18</v>
      </c>
      <c r="D14" s="107">
        <v>11783.039647560508</v>
      </c>
      <c r="E14" s="100">
        <v>8856.33365509881</v>
      </c>
      <c r="F14" s="100">
        <v>13873.799250456623</v>
      </c>
      <c r="G14" s="100">
        <v>14798.526951707938</v>
      </c>
      <c r="H14" s="160">
        <v>16164.21978010665</v>
      </c>
      <c r="I14" s="104">
        <v>104135.23080691061</v>
      </c>
      <c r="J14" s="216">
        <v>13686.926336488372</v>
      </c>
      <c r="K14" s="100">
        <v>85406.2310669783</v>
      </c>
      <c r="L14" s="100">
        <v>12218.061401624538</v>
      </c>
      <c r="M14" s="107">
        <v>10452.801541377652</v>
      </c>
      <c r="N14" s="221">
        <v>8028.115287535176</v>
      </c>
      <c r="O14" s="216">
        <v>19943.38781495132</v>
      </c>
      <c r="P14" s="9">
        <f t="shared" si="1"/>
        <v>319346.67354079644</v>
      </c>
    </row>
    <row r="15" spans="1:16" ht="19.5" customHeight="1">
      <c r="A15" s="45" t="s">
        <v>27</v>
      </c>
      <c r="B15" s="382" t="s">
        <v>28</v>
      </c>
      <c r="C15" s="54" t="s">
        <v>16</v>
      </c>
      <c r="D15" s="106">
        <v>0.3484</v>
      </c>
      <c r="E15" s="99">
        <v>6.4248</v>
      </c>
      <c r="F15" s="99">
        <v>4.9816</v>
      </c>
      <c r="G15" s="99">
        <v>5.0926</v>
      </c>
      <c r="H15" s="159">
        <v>12.422</v>
      </c>
      <c r="I15" s="116">
        <v>2.6444</v>
      </c>
      <c r="J15" s="99">
        <v>10.0162</v>
      </c>
      <c r="K15" s="99">
        <v>1.822</v>
      </c>
      <c r="L15" s="99">
        <v>0.7016</v>
      </c>
      <c r="M15" s="106">
        <v>1.1044</v>
      </c>
      <c r="N15" s="102">
        <v>0.5782</v>
      </c>
      <c r="O15" s="99">
        <v>0.385</v>
      </c>
      <c r="P15" s="8">
        <f t="shared" si="1"/>
        <v>46.5212</v>
      </c>
    </row>
    <row r="16" spans="1:16" ht="19.5" customHeight="1">
      <c r="A16" s="45" t="s">
        <v>0</v>
      </c>
      <c r="B16" s="383"/>
      <c r="C16" s="48" t="s">
        <v>18</v>
      </c>
      <c r="D16" s="107">
        <v>55.25941241637492</v>
      </c>
      <c r="E16" s="100">
        <v>2355.022871941848</v>
      </c>
      <c r="F16" s="100">
        <v>2223.553860680692</v>
      </c>
      <c r="G16" s="100">
        <v>1480.1378151660101</v>
      </c>
      <c r="H16" s="160">
        <v>4374.479568741781</v>
      </c>
      <c r="I16" s="104">
        <v>857.2370578379216</v>
      </c>
      <c r="J16" s="216">
        <v>6114.603571626323</v>
      </c>
      <c r="K16" s="100">
        <v>501.85547099181264</v>
      </c>
      <c r="L16" s="100">
        <v>293.05583524187307</v>
      </c>
      <c r="M16" s="107">
        <v>306.98027827836535</v>
      </c>
      <c r="N16" s="221">
        <v>217.5271223718238</v>
      </c>
      <c r="O16" s="216">
        <v>147.3422386328558</v>
      </c>
      <c r="P16" s="9">
        <f t="shared" si="1"/>
        <v>18927.055103927683</v>
      </c>
    </row>
    <row r="17" spans="1:16" ht="19.5" customHeight="1">
      <c r="A17" s="45" t="s">
        <v>29</v>
      </c>
      <c r="B17" s="382" t="s">
        <v>30</v>
      </c>
      <c r="C17" s="54" t="s">
        <v>16</v>
      </c>
      <c r="D17" s="106">
        <v>30.3354</v>
      </c>
      <c r="E17" s="99">
        <v>18.5106</v>
      </c>
      <c r="F17" s="99">
        <v>30.676</v>
      </c>
      <c r="G17" s="99">
        <v>78.3744</v>
      </c>
      <c r="H17" s="159">
        <v>54.1964</v>
      </c>
      <c r="I17" s="116">
        <v>39.0664</v>
      </c>
      <c r="J17" s="99">
        <v>37.3638</v>
      </c>
      <c r="K17" s="99">
        <v>41.2372</v>
      </c>
      <c r="L17" s="99">
        <v>248.6434</v>
      </c>
      <c r="M17" s="106">
        <v>347.8424</v>
      </c>
      <c r="N17" s="102">
        <v>189.6246</v>
      </c>
      <c r="O17" s="99">
        <v>89.4482</v>
      </c>
      <c r="P17" s="8">
        <f t="shared" si="1"/>
        <v>1205.3188000000002</v>
      </c>
    </row>
    <row r="18" spans="1:16" ht="19.5" customHeight="1">
      <c r="A18" s="45"/>
      <c r="B18" s="383"/>
      <c r="C18" s="48" t="s">
        <v>18</v>
      </c>
      <c r="D18" s="107">
        <v>35919.97467094852</v>
      </c>
      <c r="E18" s="100">
        <v>23885.66605785687</v>
      </c>
      <c r="F18" s="100">
        <v>45729.53181774664</v>
      </c>
      <c r="G18" s="100">
        <v>82724.30933203825</v>
      </c>
      <c r="H18" s="160">
        <v>48921.47334509793</v>
      </c>
      <c r="I18" s="104">
        <v>32883.814764266855</v>
      </c>
      <c r="J18" s="216">
        <v>32479.937129282913</v>
      </c>
      <c r="K18" s="100">
        <v>55252.214728235784</v>
      </c>
      <c r="L18" s="100">
        <v>394371.5019168869</v>
      </c>
      <c r="M18" s="107">
        <v>526960.6516046515</v>
      </c>
      <c r="N18" s="221">
        <v>269779.03926155664</v>
      </c>
      <c r="O18" s="216">
        <v>130123.05359262743</v>
      </c>
      <c r="P18" s="9">
        <f t="shared" si="1"/>
        <v>1679031.1682211962</v>
      </c>
    </row>
    <row r="19" spans="1:16" ht="19.5" customHeight="1">
      <c r="A19" s="45" t="s">
        <v>31</v>
      </c>
      <c r="B19" s="47" t="s">
        <v>108</v>
      </c>
      <c r="C19" s="54" t="s">
        <v>16</v>
      </c>
      <c r="D19" s="106">
        <v>10.7738</v>
      </c>
      <c r="E19" s="99">
        <v>5.8582</v>
      </c>
      <c r="F19" s="99">
        <v>5.0652</v>
      </c>
      <c r="G19" s="99">
        <v>5.9748</v>
      </c>
      <c r="H19" s="159">
        <v>18.6076</v>
      </c>
      <c r="I19" s="116">
        <v>13.6709</v>
      </c>
      <c r="J19" s="99">
        <v>28.6236</v>
      </c>
      <c r="K19" s="99">
        <v>4.456</v>
      </c>
      <c r="L19" s="99">
        <v>102.2922</v>
      </c>
      <c r="M19" s="106">
        <v>7.332</v>
      </c>
      <c r="N19" s="102">
        <v>1.8948</v>
      </c>
      <c r="O19" s="99">
        <v>2.6028</v>
      </c>
      <c r="P19" s="8">
        <f t="shared" si="1"/>
        <v>207.15189999999998</v>
      </c>
    </row>
    <row r="20" spans="1:16" ht="19.5" customHeight="1">
      <c r="A20" s="45"/>
      <c r="B20" s="48" t="s">
        <v>109</v>
      </c>
      <c r="C20" s="48" t="s">
        <v>18</v>
      </c>
      <c r="D20" s="107">
        <v>8909.735001950534</v>
      </c>
      <c r="E20" s="100">
        <v>5425.543339176816</v>
      </c>
      <c r="F20" s="100">
        <v>4149.096673021277</v>
      </c>
      <c r="G20" s="100">
        <v>3146.618827205524</v>
      </c>
      <c r="H20" s="160">
        <v>11630.690769592691</v>
      </c>
      <c r="I20" s="104">
        <v>6267.500410418044</v>
      </c>
      <c r="J20" s="216">
        <v>20018.346387108602</v>
      </c>
      <c r="K20" s="100">
        <v>2751.701710607603</v>
      </c>
      <c r="L20" s="100">
        <v>77118.93234787797</v>
      </c>
      <c r="M20" s="107">
        <v>9490.145706776506</v>
      </c>
      <c r="N20" s="221">
        <v>2590.7256282481776</v>
      </c>
      <c r="O20" s="216">
        <v>4146.81116152299</v>
      </c>
      <c r="P20" s="9">
        <f t="shared" si="1"/>
        <v>155645.84796350673</v>
      </c>
    </row>
    <row r="21" spans="1:16" ht="19.5" customHeight="1">
      <c r="A21" s="45" t="s">
        <v>23</v>
      </c>
      <c r="B21" s="382" t="s">
        <v>32</v>
      </c>
      <c r="C21" s="54" t="s">
        <v>16</v>
      </c>
      <c r="D21" s="106">
        <v>100.6892</v>
      </c>
      <c r="E21" s="99">
        <v>17.6762</v>
      </c>
      <c r="F21" s="99">
        <v>37.4662</v>
      </c>
      <c r="G21" s="99">
        <v>45.1344</v>
      </c>
      <c r="H21" s="159">
        <v>118.4566</v>
      </c>
      <c r="I21" s="116">
        <v>23.9076</v>
      </c>
      <c r="J21" s="99">
        <v>518.484</v>
      </c>
      <c r="K21" s="99">
        <v>26.437</v>
      </c>
      <c r="L21" s="99">
        <v>1.7624</v>
      </c>
      <c r="M21" s="106">
        <v>93.0234</v>
      </c>
      <c r="N21" s="102">
        <v>176.4494</v>
      </c>
      <c r="O21" s="99">
        <v>209.417</v>
      </c>
      <c r="P21" s="8">
        <f t="shared" si="1"/>
        <v>1368.9034</v>
      </c>
    </row>
    <row r="22" spans="1:16" ht="19.5" customHeight="1">
      <c r="A22" s="45"/>
      <c r="B22" s="383"/>
      <c r="C22" s="48" t="s">
        <v>18</v>
      </c>
      <c r="D22" s="107">
        <v>47563.742287215646</v>
      </c>
      <c r="E22" s="100">
        <v>10029.423539244914</v>
      </c>
      <c r="F22" s="100">
        <v>21442.156378113097</v>
      </c>
      <c r="G22" s="100">
        <v>15231.29590444687</v>
      </c>
      <c r="H22" s="161">
        <v>30391.650698633013</v>
      </c>
      <c r="I22" s="104">
        <v>7400.479833993785</v>
      </c>
      <c r="J22" s="216">
        <v>163458.90536149946</v>
      </c>
      <c r="K22" s="100">
        <v>9450.973990357246</v>
      </c>
      <c r="L22" s="100">
        <v>665.0963892013308</v>
      </c>
      <c r="M22" s="107">
        <v>38860.3967020596</v>
      </c>
      <c r="N22" s="222">
        <v>56932.26434076535</v>
      </c>
      <c r="O22" s="216">
        <v>85320.75952833441</v>
      </c>
      <c r="P22" s="9">
        <f t="shared" si="1"/>
        <v>486747.1449538648</v>
      </c>
    </row>
    <row r="23" spans="1:16" s="38" customFormat="1" ht="19.5" customHeight="1">
      <c r="A23" s="50"/>
      <c r="B23" s="380" t="s">
        <v>114</v>
      </c>
      <c r="C23" s="54" t="s">
        <v>16</v>
      </c>
      <c r="D23" s="223">
        <f>D13+D15+D17+D19+D21</f>
        <v>145.7202</v>
      </c>
      <c r="E23" s="223">
        <f aca="true" t="shared" si="2" ref="E23:L23">E13+E15+E17+E19+E21</f>
        <v>52.07</v>
      </c>
      <c r="F23" s="224">
        <f t="shared" si="2"/>
        <v>84.39599999999999</v>
      </c>
      <c r="G23" s="224">
        <f t="shared" si="2"/>
        <v>140.184</v>
      </c>
      <c r="H23" s="83">
        <f t="shared" si="2"/>
        <v>208.6662</v>
      </c>
      <c r="I23" s="20">
        <f t="shared" si="2"/>
        <v>247.6446</v>
      </c>
      <c r="J23" s="1">
        <f t="shared" si="2"/>
        <v>600.096</v>
      </c>
      <c r="K23" s="1">
        <f t="shared" si="2"/>
        <v>119.4452</v>
      </c>
      <c r="L23" s="5">
        <f t="shared" si="2"/>
        <v>358.1446</v>
      </c>
      <c r="M23" s="5">
        <f aca="true" t="shared" si="3" ref="M23:O24">+M13+M15+M17+M19+M21</f>
        <v>452.794</v>
      </c>
      <c r="N23" s="5">
        <f t="shared" si="3"/>
        <v>371.2992</v>
      </c>
      <c r="O23" s="5">
        <f t="shared" si="3"/>
        <v>307.639</v>
      </c>
      <c r="P23" s="8">
        <f>SUM(D23:O23)</f>
        <v>3088.099</v>
      </c>
    </row>
    <row r="24" spans="1:16" s="38" customFormat="1" ht="19.5" customHeight="1">
      <c r="A24" s="49"/>
      <c r="B24" s="381"/>
      <c r="C24" s="48" t="s">
        <v>18</v>
      </c>
      <c r="D24" s="225">
        <f>D14+D16+D18+D20+D22</f>
        <v>104231.75102009159</v>
      </c>
      <c r="E24" s="225">
        <f aca="true" t="shared" si="4" ref="E24:L24">E14+E16+E18+E20+E22</f>
        <v>50551.98946331925</v>
      </c>
      <c r="F24" s="226">
        <f t="shared" si="4"/>
        <v>87418.13798001833</v>
      </c>
      <c r="G24" s="226">
        <f t="shared" si="4"/>
        <v>117380.8888305646</v>
      </c>
      <c r="H24" s="86">
        <f t="shared" si="4"/>
        <v>111482.51416217207</v>
      </c>
      <c r="I24" s="53">
        <f t="shared" si="4"/>
        <v>151544.26287342724</v>
      </c>
      <c r="J24" s="2">
        <f t="shared" si="4"/>
        <v>235758.7187860057</v>
      </c>
      <c r="K24" s="2">
        <f t="shared" si="4"/>
        <v>153362.97696717075</v>
      </c>
      <c r="L24" s="34">
        <f t="shared" si="4"/>
        <v>484666.6478908326</v>
      </c>
      <c r="M24" s="34">
        <f t="shared" si="3"/>
        <v>586070.9758331436</v>
      </c>
      <c r="N24" s="34">
        <f t="shared" si="3"/>
        <v>337547.6716404772</v>
      </c>
      <c r="O24" s="34">
        <f t="shared" si="3"/>
        <v>239681.35433606902</v>
      </c>
      <c r="P24" s="9">
        <f>SUM(D24:O24)</f>
        <v>2659697.889783292</v>
      </c>
    </row>
    <row r="25" spans="1:16" ht="19.5" customHeight="1">
      <c r="A25" s="45" t="s">
        <v>0</v>
      </c>
      <c r="B25" s="382" t="s">
        <v>33</v>
      </c>
      <c r="C25" s="54" t="s">
        <v>16</v>
      </c>
      <c r="D25" s="106">
        <v>1.143</v>
      </c>
      <c r="E25" s="99">
        <v>0.46</v>
      </c>
      <c r="F25" s="99">
        <v>1.471</v>
      </c>
      <c r="G25" s="99">
        <v>4.908</v>
      </c>
      <c r="H25" s="162">
        <v>2.3502</v>
      </c>
      <c r="I25" s="123">
        <v>1.4529</v>
      </c>
      <c r="J25" s="99">
        <v>0.3537</v>
      </c>
      <c r="K25" s="99">
        <v>0.334</v>
      </c>
      <c r="L25" s="99">
        <v>12.597</v>
      </c>
      <c r="M25" s="106">
        <v>12.703</v>
      </c>
      <c r="N25" s="102">
        <v>28.758</v>
      </c>
      <c r="O25" s="99">
        <v>10.702</v>
      </c>
      <c r="P25" s="8">
        <f t="shared" si="1"/>
        <v>77.2328</v>
      </c>
    </row>
    <row r="26" spans="1:16" ht="19.5" customHeight="1">
      <c r="A26" s="45" t="s">
        <v>34</v>
      </c>
      <c r="B26" s="383"/>
      <c r="C26" s="48" t="s">
        <v>18</v>
      </c>
      <c r="D26" s="107">
        <v>746.8651678149936</v>
      </c>
      <c r="E26" s="100">
        <v>542.1152237364563</v>
      </c>
      <c r="F26" s="100">
        <v>1424.5877310811074</v>
      </c>
      <c r="G26" s="100">
        <v>4477.485524876029</v>
      </c>
      <c r="H26" s="163">
        <v>1909.9260212809763</v>
      </c>
      <c r="I26" s="104">
        <v>997.7796207624185</v>
      </c>
      <c r="J26" s="216">
        <v>339.206398425976</v>
      </c>
      <c r="K26" s="100">
        <v>182.09879673136956</v>
      </c>
      <c r="L26" s="100">
        <v>9012.027453678496</v>
      </c>
      <c r="M26" s="107">
        <v>9401.810347271914</v>
      </c>
      <c r="N26" s="222">
        <v>18484.59440154821</v>
      </c>
      <c r="O26" s="216">
        <v>6888.164336086801</v>
      </c>
      <c r="P26" s="9">
        <f t="shared" si="1"/>
        <v>54406.66102329475</v>
      </c>
    </row>
    <row r="27" spans="1:16" ht="19.5" customHeight="1">
      <c r="A27" s="45" t="s">
        <v>35</v>
      </c>
      <c r="B27" s="47" t="s">
        <v>20</v>
      </c>
      <c r="C27" s="54" t="s">
        <v>16</v>
      </c>
      <c r="D27" s="106">
        <v>4.49</v>
      </c>
      <c r="E27" s="99">
        <v>2.455</v>
      </c>
      <c r="F27" s="99">
        <v>5.296</v>
      </c>
      <c r="G27" s="99">
        <v>10.315</v>
      </c>
      <c r="H27" s="162">
        <v>11.772</v>
      </c>
      <c r="I27" s="116">
        <v>2.524</v>
      </c>
      <c r="J27" s="99">
        <v>6.234</v>
      </c>
      <c r="K27" s="99">
        <v>1.147</v>
      </c>
      <c r="L27" s="99">
        <v>24.114</v>
      </c>
      <c r="M27" s="106">
        <v>61.69</v>
      </c>
      <c r="N27" s="102">
        <v>14.296</v>
      </c>
      <c r="O27" s="99">
        <v>3.667</v>
      </c>
      <c r="P27" s="8">
        <f t="shared" si="1"/>
        <v>147.99999999999997</v>
      </c>
    </row>
    <row r="28" spans="1:16" ht="19.5" customHeight="1">
      <c r="A28" s="45" t="s">
        <v>36</v>
      </c>
      <c r="B28" s="48" t="s">
        <v>110</v>
      </c>
      <c r="C28" s="48" t="s">
        <v>18</v>
      </c>
      <c r="D28" s="107">
        <v>1393.7493131650026</v>
      </c>
      <c r="E28" s="100">
        <v>720.846297500585</v>
      </c>
      <c r="F28" s="100">
        <v>2176.419353035046</v>
      </c>
      <c r="G28" s="100">
        <v>3679.0631382720876</v>
      </c>
      <c r="H28" s="163">
        <v>3449.520038435601</v>
      </c>
      <c r="I28" s="147">
        <v>578.1564120306381</v>
      </c>
      <c r="J28" s="216">
        <v>1436.853593332549</v>
      </c>
      <c r="K28" s="100">
        <v>363.81959346952414</v>
      </c>
      <c r="L28" s="100">
        <v>9589.201044307363</v>
      </c>
      <c r="M28" s="107">
        <v>23778.791866641626</v>
      </c>
      <c r="N28" s="222">
        <v>5587.542060924197</v>
      </c>
      <c r="O28" s="216">
        <v>2138.842780154323</v>
      </c>
      <c r="P28" s="9">
        <f t="shared" si="1"/>
        <v>54892.80549126854</v>
      </c>
    </row>
    <row r="29" spans="1:16" s="38" customFormat="1" ht="19.5" customHeight="1">
      <c r="A29" s="44" t="s">
        <v>23</v>
      </c>
      <c r="B29" s="380" t="s">
        <v>114</v>
      </c>
      <c r="C29" s="54" t="s">
        <v>16</v>
      </c>
      <c r="D29" s="223">
        <f>D25+D27</f>
        <v>5.633</v>
      </c>
      <c r="E29" s="223">
        <f>E25+E27</f>
        <v>2.915</v>
      </c>
      <c r="F29" s="224">
        <f aca="true" t="shared" si="5" ref="F29:L29">F25+F27</f>
        <v>6.767</v>
      </c>
      <c r="G29" s="224">
        <f t="shared" si="5"/>
        <v>15.222999999999999</v>
      </c>
      <c r="H29" s="28">
        <f>H25+H27</f>
        <v>14.1222</v>
      </c>
      <c r="I29" s="137">
        <f t="shared" si="5"/>
        <v>3.9769</v>
      </c>
      <c r="J29" s="1">
        <f t="shared" si="5"/>
        <v>6.5877</v>
      </c>
      <c r="K29" s="1">
        <f t="shared" si="5"/>
        <v>1.481</v>
      </c>
      <c r="L29" s="5">
        <f t="shared" si="5"/>
        <v>36.711</v>
      </c>
      <c r="M29" s="5">
        <f aca="true" t="shared" si="6" ref="M29:O30">+M25+M27</f>
        <v>74.393</v>
      </c>
      <c r="N29" s="5">
        <f t="shared" si="6"/>
        <v>43.054</v>
      </c>
      <c r="O29" s="5">
        <f t="shared" si="6"/>
        <v>14.369</v>
      </c>
      <c r="P29" s="8">
        <f>SUM(D29:O29)</f>
        <v>225.2328</v>
      </c>
    </row>
    <row r="30" spans="1:16" s="38" customFormat="1" ht="19.5" customHeight="1">
      <c r="A30" s="49"/>
      <c r="B30" s="381"/>
      <c r="C30" s="48" t="s">
        <v>18</v>
      </c>
      <c r="D30" s="225">
        <f>D26+D28</f>
        <v>2140.614480979996</v>
      </c>
      <c r="E30" s="225">
        <f>E26+E28</f>
        <v>1262.9615212370413</v>
      </c>
      <c r="F30" s="226">
        <f aca="true" t="shared" si="7" ref="F30:L30">F26+F28</f>
        <v>3601.0070841161532</v>
      </c>
      <c r="G30" s="226">
        <f t="shared" si="7"/>
        <v>8156.548663148116</v>
      </c>
      <c r="H30" s="86">
        <f>H26+H28</f>
        <v>5359.446059716577</v>
      </c>
      <c r="I30" s="53">
        <f t="shared" si="7"/>
        <v>1575.9360327930567</v>
      </c>
      <c r="J30" s="2">
        <f t="shared" si="7"/>
        <v>1776.059991758525</v>
      </c>
      <c r="K30" s="2">
        <f t="shared" si="7"/>
        <v>545.9183902008937</v>
      </c>
      <c r="L30" s="34">
        <f t="shared" si="7"/>
        <v>18601.22849798586</v>
      </c>
      <c r="M30" s="34">
        <f t="shared" si="6"/>
        <v>33180.60221391354</v>
      </c>
      <c r="N30" s="34">
        <f t="shared" si="6"/>
        <v>24072.13646247241</v>
      </c>
      <c r="O30" s="34">
        <f t="shared" si="6"/>
        <v>9027.007116241124</v>
      </c>
      <c r="P30" s="9">
        <f>SUM(D30:O30)</f>
        <v>109299.46651456328</v>
      </c>
    </row>
    <row r="31" spans="1:16" ht="19.5" customHeight="1">
      <c r="A31" s="45" t="s">
        <v>0</v>
      </c>
      <c r="B31" s="382" t="s">
        <v>37</v>
      </c>
      <c r="C31" s="54" t="s">
        <v>16</v>
      </c>
      <c r="D31" s="106">
        <v>9.8122</v>
      </c>
      <c r="E31" s="99">
        <v>4.9357</v>
      </c>
      <c r="F31" s="99">
        <v>2.5464</v>
      </c>
      <c r="G31" s="99">
        <v>3.521</v>
      </c>
      <c r="H31" s="162">
        <v>0.4874</v>
      </c>
      <c r="I31" s="123">
        <v>0.0371</v>
      </c>
      <c r="J31" s="99">
        <v>0.011</v>
      </c>
      <c r="K31" s="99"/>
      <c r="L31" s="99">
        <v>0.0433</v>
      </c>
      <c r="M31" s="106"/>
      <c r="N31" s="102">
        <v>0.0078</v>
      </c>
      <c r="O31" s="99">
        <v>1.9856</v>
      </c>
      <c r="P31" s="8">
        <f t="shared" si="1"/>
        <v>23.3875</v>
      </c>
    </row>
    <row r="32" spans="1:16" ht="19.5" customHeight="1">
      <c r="A32" s="45" t="s">
        <v>38</v>
      </c>
      <c r="B32" s="383"/>
      <c r="C32" s="48" t="s">
        <v>18</v>
      </c>
      <c r="D32" s="107">
        <v>1308.439943996628</v>
      </c>
      <c r="E32" s="100">
        <v>885.3750654032779</v>
      </c>
      <c r="F32" s="100">
        <v>454.02112364636224</v>
      </c>
      <c r="G32" s="100">
        <v>421.0563529354489</v>
      </c>
      <c r="H32" s="163">
        <v>50.393880561503934</v>
      </c>
      <c r="I32" s="104">
        <v>4.286520089196574</v>
      </c>
      <c r="J32" s="100">
        <v>1.0907999949383462</v>
      </c>
      <c r="K32" s="100"/>
      <c r="L32" s="100">
        <v>5.750999906625346</v>
      </c>
      <c r="M32" s="107"/>
      <c r="N32" s="222">
        <v>3.3912000369762123</v>
      </c>
      <c r="O32" s="216">
        <v>897.7057116704594</v>
      </c>
      <c r="P32" s="9">
        <f t="shared" si="1"/>
        <v>4031.511598241417</v>
      </c>
    </row>
    <row r="33" spans="1:16" ht="19.5" customHeight="1">
      <c r="A33" s="45" t="s">
        <v>0</v>
      </c>
      <c r="B33" s="382" t="s">
        <v>39</v>
      </c>
      <c r="C33" s="54" t="s">
        <v>16</v>
      </c>
      <c r="D33" s="106">
        <v>0.4456</v>
      </c>
      <c r="E33" s="99">
        <v>0.4073</v>
      </c>
      <c r="F33" s="99">
        <v>0.1259</v>
      </c>
      <c r="G33" s="99">
        <v>0.253</v>
      </c>
      <c r="H33" s="159">
        <v>0.1709</v>
      </c>
      <c r="I33" s="116">
        <v>0.013</v>
      </c>
      <c r="J33" s="99"/>
      <c r="K33" s="99"/>
      <c r="L33" s="99">
        <v>0.004</v>
      </c>
      <c r="M33" s="106"/>
      <c r="N33" s="102">
        <v>0.0073</v>
      </c>
      <c r="O33" s="99">
        <v>0.0987</v>
      </c>
      <c r="P33" s="8">
        <f t="shared" si="1"/>
        <v>1.5257</v>
      </c>
    </row>
    <row r="34" spans="1:16" ht="19.5" customHeight="1">
      <c r="A34" s="45" t="s">
        <v>40</v>
      </c>
      <c r="B34" s="383"/>
      <c r="C34" s="48" t="s">
        <v>18</v>
      </c>
      <c r="D34" s="107">
        <v>58.81261321475245</v>
      </c>
      <c r="E34" s="100">
        <v>78.82773253300547</v>
      </c>
      <c r="F34" s="100">
        <v>18.012752921832615</v>
      </c>
      <c r="G34" s="100">
        <v>20.429279657234265</v>
      </c>
      <c r="H34" s="158">
        <v>10.590480118002349</v>
      </c>
      <c r="I34" s="124">
        <v>1.4040000292153054</v>
      </c>
      <c r="J34" s="100"/>
      <c r="K34" s="100"/>
      <c r="L34" s="100">
        <v>0.8639999859718829</v>
      </c>
      <c r="M34" s="107"/>
      <c r="N34" s="222">
        <v>3.9420000429819027</v>
      </c>
      <c r="O34" s="216">
        <v>43.7885995936988</v>
      </c>
      <c r="P34" s="9">
        <f t="shared" si="1"/>
        <v>236.671458096695</v>
      </c>
    </row>
    <row r="35" spans="1:16" ht="19.5" customHeight="1">
      <c r="A35" s="45"/>
      <c r="B35" s="47" t="s">
        <v>20</v>
      </c>
      <c r="C35" s="54" t="s">
        <v>16</v>
      </c>
      <c r="D35" s="106"/>
      <c r="E35" s="99"/>
      <c r="F35" s="99"/>
      <c r="G35" s="99"/>
      <c r="H35" s="159"/>
      <c r="I35" s="123"/>
      <c r="J35" s="99"/>
      <c r="K35" s="99"/>
      <c r="L35" s="99"/>
      <c r="M35" s="106"/>
      <c r="N35" s="102"/>
      <c r="O35" s="99"/>
      <c r="P35" s="8"/>
    </row>
    <row r="36" spans="1:16" ht="19.5" customHeight="1">
      <c r="A36" s="45" t="s">
        <v>23</v>
      </c>
      <c r="B36" s="48" t="s">
        <v>111</v>
      </c>
      <c r="C36" s="48" t="s">
        <v>18</v>
      </c>
      <c r="D36" s="107"/>
      <c r="E36" s="100"/>
      <c r="F36" s="100"/>
      <c r="G36" s="100"/>
      <c r="H36" s="158"/>
      <c r="I36" s="124"/>
      <c r="J36" s="100"/>
      <c r="K36" s="100"/>
      <c r="L36" s="100"/>
      <c r="M36" s="107"/>
      <c r="N36" s="103"/>
      <c r="O36" s="100"/>
      <c r="P36" s="9"/>
    </row>
    <row r="37" spans="1:16" s="38" customFormat="1" ht="19.5" customHeight="1">
      <c r="A37" s="50"/>
      <c r="B37" s="380" t="s">
        <v>107</v>
      </c>
      <c r="C37" s="54" t="s">
        <v>16</v>
      </c>
      <c r="D37" s="223">
        <f>D31+D33+D35</f>
        <v>10.257800000000001</v>
      </c>
      <c r="E37" s="223">
        <f aca="true" t="shared" si="8" ref="E37:L37">E31+E33+E35</f>
        <v>5.343</v>
      </c>
      <c r="F37" s="224">
        <f t="shared" si="8"/>
        <v>2.6723000000000003</v>
      </c>
      <c r="G37" s="224">
        <f t="shared" si="8"/>
        <v>3.774</v>
      </c>
      <c r="H37" s="28">
        <f t="shared" si="8"/>
        <v>0.6583</v>
      </c>
      <c r="I37" s="137">
        <f t="shared" si="8"/>
        <v>0.0501</v>
      </c>
      <c r="J37" s="1">
        <f t="shared" si="8"/>
        <v>0.011</v>
      </c>
      <c r="K37" s="1"/>
      <c r="L37" s="5">
        <f t="shared" si="8"/>
        <v>0.047299999999999995</v>
      </c>
      <c r="M37" s="5"/>
      <c r="N37" s="5">
        <f>+N31+N33+N35</f>
        <v>0.015099999999999999</v>
      </c>
      <c r="O37" s="5">
        <f>+O31+O33+O35</f>
        <v>2.0843</v>
      </c>
      <c r="P37" s="8">
        <f>SUM(D37:O37)</f>
        <v>24.913200000000003</v>
      </c>
    </row>
    <row r="38" spans="1:16" s="38" customFormat="1" ht="19.5" customHeight="1">
      <c r="A38" s="49"/>
      <c r="B38" s="381"/>
      <c r="C38" s="48" t="s">
        <v>18</v>
      </c>
      <c r="D38" s="225">
        <f>D32+D34+D36</f>
        <v>1367.2525572113805</v>
      </c>
      <c r="E38" s="225">
        <f aca="true" t="shared" si="9" ref="E38:L38">E32+E34+E36</f>
        <v>964.2027979362833</v>
      </c>
      <c r="F38" s="226">
        <f t="shared" si="9"/>
        <v>472.03387656819484</v>
      </c>
      <c r="G38" s="226">
        <f t="shared" si="9"/>
        <v>441.48563259268315</v>
      </c>
      <c r="H38" s="86">
        <f t="shared" si="9"/>
        <v>60.98436067950628</v>
      </c>
      <c r="I38" s="53">
        <f t="shared" si="9"/>
        <v>5.69052011841188</v>
      </c>
      <c r="J38" s="2">
        <f t="shared" si="9"/>
        <v>1.0907999949383462</v>
      </c>
      <c r="K38" s="2"/>
      <c r="L38" s="34">
        <f t="shared" si="9"/>
        <v>6.614999892597228</v>
      </c>
      <c r="M38" s="34"/>
      <c r="N38" s="34">
        <f>+N32+N34+N36</f>
        <v>7.3332000799581145</v>
      </c>
      <c r="O38" s="34">
        <f>+O32+O34+O36</f>
        <v>941.4943112641582</v>
      </c>
      <c r="P38" s="9">
        <f>SUM(D38:O38)</f>
        <v>4268.183056338112</v>
      </c>
    </row>
    <row r="39" spans="1:16" ht="19.5" customHeight="1">
      <c r="A39" s="376" t="s">
        <v>41</v>
      </c>
      <c r="B39" s="377"/>
      <c r="C39" s="54" t="s">
        <v>16</v>
      </c>
      <c r="D39" s="106">
        <v>0.1036</v>
      </c>
      <c r="E39" s="99">
        <v>0.1875</v>
      </c>
      <c r="F39" s="99">
        <v>0.1733</v>
      </c>
      <c r="G39" s="99">
        <v>0.0719</v>
      </c>
      <c r="H39" s="162">
        <v>0.0809</v>
      </c>
      <c r="I39" s="123">
        <v>0.1759</v>
      </c>
      <c r="J39" s="99">
        <v>0.0515</v>
      </c>
      <c r="K39" s="99">
        <v>0.0685</v>
      </c>
      <c r="L39" s="99">
        <v>0.0918</v>
      </c>
      <c r="M39" s="106">
        <v>0.0766</v>
      </c>
      <c r="N39" s="102">
        <v>0.0703</v>
      </c>
      <c r="O39" s="99">
        <v>0.0549</v>
      </c>
      <c r="P39" s="8">
        <f aca="true" t="shared" si="10" ref="P39:P54">SUM(D39:O39)</f>
        <v>1.2066999999999999</v>
      </c>
    </row>
    <row r="40" spans="1:16" ht="19.5" customHeight="1">
      <c r="A40" s="378"/>
      <c r="B40" s="379"/>
      <c r="C40" s="48" t="s">
        <v>18</v>
      </c>
      <c r="D40" s="107">
        <v>99.58202237533249</v>
      </c>
      <c r="E40" s="100">
        <v>139.45580755482754</v>
      </c>
      <c r="F40" s="100">
        <v>163.74227656048888</v>
      </c>
      <c r="G40" s="100">
        <v>128.12579785028478</v>
      </c>
      <c r="H40" s="163">
        <v>144.16380160631692</v>
      </c>
      <c r="I40" s="124">
        <v>140.8860029316435</v>
      </c>
      <c r="J40" s="216">
        <v>89.66699958391703</v>
      </c>
      <c r="K40" s="100">
        <v>55.55519900279728</v>
      </c>
      <c r="L40" s="100">
        <v>73.14839881234454</v>
      </c>
      <c r="M40" s="107">
        <v>107.97839939442576</v>
      </c>
      <c r="N40" s="222">
        <v>84.09960091698652</v>
      </c>
      <c r="O40" s="216">
        <v>97.49699909535477</v>
      </c>
      <c r="P40" s="9">
        <f t="shared" si="10"/>
        <v>1323.9013056847198</v>
      </c>
    </row>
    <row r="41" spans="1:16" ht="19.5" customHeight="1">
      <c r="A41" s="376" t="s">
        <v>42</v>
      </c>
      <c r="B41" s="377"/>
      <c r="C41" s="54" t="s">
        <v>16</v>
      </c>
      <c r="D41" s="106">
        <v>0.9873</v>
      </c>
      <c r="E41" s="99">
        <v>1.3666</v>
      </c>
      <c r="F41" s="99">
        <v>2.1</v>
      </c>
      <c r="G41" s="99">
        <v>1.0646</v>
      </c>
      <c r="H41" s="162">
        <v>0.9197</v>
      </c>
      <c r="I41" s="123">
        <v>1.3679</v>
      </c>
      <c r="J41" s="99">
        <v>1.157</v>
      </c>
      <c r="K41" s="99">
        <v>0.3024</v>
      </c>
      <c r="L41" s="99">
        <v>0.6257</v>
      </c>
      <c r="M41" s="106">
        <v>0.5795</v>
      </c>
      <c r="N41" s="102">
        <v>1.5617</v>
      </c>
      <c r="O41" s="99">
        <v>3.9486</v>
      </c>
      <c r="P41" s="8">
        <f t="shared" si="10"/>
        <v>15.980999999999998</v>
      </c>
    </row>
    <row r="42" spans="1:16" ht="19.5" customHeight="1">
      <c r="A42" s="378"/>
      <c r="B42" s="379"/>
      <c r="C42" s="48" t="s">
        <v>18</v>
      </c>
      <c r="D42" s="107">
        <v>995.1314235985566</v>
      </c>
      <c r="E42" s="100">
        <v>1412.7209830442916</v>
      </c>
      <c r="F42" s="100">
        <v>2160.900350517722</v>
      </c>
      <c r="G42" s="100">
        <v>1126.772621094828</v>
      </c>
      <c r="H42" s="163">
        <v>615.8916068624515</v>
      </c>
      <c r="I42" s="104">
        <v>383.17104797326135</v>
      </c>
      <c r="J42" s="216">
        <v>472.0841978093814</v>
      </c>
      <c r="K42" s="100">
        <v>289.59659480180943</v>
      </c>
      <c r="L42" s="100">
        <v>624.9527898531121</v>
      </c>
      <c r="M42" s="107">
        <v>622.943996506349</v>
      </c>
      <c r="N42" s="222">
        <v>1676.4840182796731</v>
      </c>
      <c r="O42" s="216">
        <v>3963.869963220446</v>
      </c>
      <c r="P42" s="9">
        <f t="shared" si="10"/>
        <v>14344.51959356188</v>
      </c>
    </row>
    <row r="43" spans="1:16" ht="19.5" customHeight="1">
      <c r="A43" s="376" t="s">
        <v>43</v>
      </c>
      <c r="B43" s="377"/>
      <c r="C43" s="54" t="s">
        <v>16</v>
      </c>
      <c r="D43" s="106"/>
      <c r="E43" s="99"/>
      <c r="F43" s="99"/>
      <c r="G43" s="99"/>
      <c r="H43" s="159"/>
      <c r="I43" s="116"/>
      <c r="J43" s="99"/>
      <c r="K43" s="99"/>
      <c r="L43" s="99"/>
      <c r="M43" s="106"/>
      <c r="N43" s="102"/>
      <c r="O43" s="99"/>
      <c r="P43" s="8"/>
    </row>
    <row r="44" spans="1:16" ht="19.5" customHeight="1">
      <c r="A44" s="378"/>
      <c r="B44" s="379"/>
      <c r="C44" s="48" t="s">
        <v>18</v>
      </c>
      <c r="D44" s="107"/>
      <c r="E44" s="100"/>
      <c r="F44" s="100"/>
      <c r="G44" s="100"/>
      <c r="H44" s="158"/>
      <c r="I44" s="124"/>
      <c r="J44" s="100"/>
      <c r="K44" s="100"/>
      <c r="L44" s="100"/>
      <c r="M44" s="107"/>
      <c r="N44" s="103"/>
      <c r="O44" s="100"/>
      <c r="P44" s="9"/>
    </row>
    <row r="45" spans="1:16" ht="19.5" customHeight="1">
      <c r="A45" s="376" t="s">
        <v>44</v>
      </c>
      <c r="B45" s="377"/>
      <c r="C45" s="54" t="s">
        <v>16</v>
      </c>
      <c r="D45" s="106"/>
      <c r="E45" s="99"/>
      <c r="F45" s="99"/>
      <c r="G45" s="99">
        <v>0.001</v>
      </c>
      <c r="H45" s="162"/>
      <c r="I45" s="123"/>
      <c r="J45" s="99"/>
      <c r="K45" s="99">
        <v>0.001</v>
      </c>
      <c r="L45" s="99"/>
      <c r="M45" s="106"/>
      <c r="N45" s="102"/>
      <c r="O45" s="99"/>
      <c r="P45" s="8">
        <f t="shared" si="10"/>
        <v>0.002</v>
      </c>
    </row>
    <row r="46" spans="1:16" ht="19.5" customHeight="1">
      <c r="A46" s="378"/>
      <c r="B46" s="379"/>
      <c r="C46" s="48" t="s">
        <v>18</v>
      </c>
      <c r="D46" s="107"/>
      <c r="E46" s="100"/>
      <c r="F46" s="100"/>
      <c r="G46" s="100">
        <v>1.6199999728193804</v>
      </c>
      <c r="H46" s="163"/>
      <c r="I46" s="104"/>
      <c r="J46" s="216"/>
      <c r="K46" s="100">
        <v>0.3239999941842765</v>
      </c>
      <c r="L46" s="100"/>
      <c r="M46" s="107"/>
      <c r="N46" s="222"/>
      <c r="O46" s="216"/>
      <c r="P46" s="9">
        <f t="shared" si="10"/>
        <v>1.943999967003657</v>
      </c>
    </row>
    <row r="47" spans="1:16" ht="19.5" customHeight="1">
      <c r="A47" s="376" t="s">
        <v>45</v>
      </c>
      <c r="B47" s="377"/>
      <c r="C47" s="54" t="s">
        <v>16</v>
      </c>
      <c r="D47" s="106">
        <v>0.016</v>
      </c>
      <c r="E47" s="99">
        <v>0.112</v>
      </c>
      <c r="F47" s="99"/>
      <c r="G47" s="99">
        <v>0.016</v>
      </c>
      <c r="H47" s="162">
        <v>0.007</v>
      </c>
      <c r="I47" s="116"/>
      <c r="J47" s="99"/>
      <c r="K47" s="99"/>
      <c r="L47" s="99"/>
      <c r="M47" s="106"/>
      <c r="N47" s="102"/>
      <c r="O47" s="99"/>
      <c r="P47" s="8">
        <f t="shared" si="10"/>
        <v>0.15100000000000002</v>
      </c>
    </row>
    <row r="48" spans="1:16" ht="19.5" customHeight="1">
      <c r="A48" s="378"/>
      <c r="B48" s="379"/>
      <c r="C48" s="48" t="s">
        <v>18</v>
      </c>
      <c r="D48" s="107">
        <v>9.240002076159067</v>
      </c>
      <c r="E48" s="100">
        <v>54.8520226379866</v>
      </c>
      <c r="F48" s="100"/>
      <c r="G48" s="100">
        <v>10.367999826044034</v>
      </c>
      <c r="H48" s="163">
        <v>9.828000109506565</v>
      </c>
      <c r="I48" s="33"/>
      <c r="J48" s="100"/>
      <c r="K48" s="100"/>
      <c r="L48" s="100"/>
      <c r="M48" s="107"/>
      <c r="N48" s="103"/>
      <c r="O48" s="216"/>
      <c r="P48" s="9">
        <f t="shared" si="10"/>
        <v>84.28802464969625</v>
      </c>
    </row>
    <row r="49" spans="1:16" ht="19.5" customHeight="1">
      <c r="A49" s="376" t="s">
        <v>46</v>
      </c>
      <c r="B49" s="377"/>
      <c r="C49" s="54" t="s">
        <v>16</v>
      </c>
      <c r="D49" s="106"/>
      <c r="E49" s="99"/>
      <c r="F49" s="99"/>
      <c r="G49" s="99"/>
      <c r="H49" s="162">
        <v>0.085</v>
      </c>
      <c r="I49" s="123">
        <v>0.1183</v>
      </c>
      <c r="J49" s="99">
        <v>11.3924</v>
      </c>
      <c r="K49" s="99">
        <v>14.5877</v>
      </c>
      <c r="L49" s="99">
        <v>0.2494</v>
      </c>
      <c r="M49" s="106">
        <v>144.1287</v>
      </c>
      <c r="N49" s="102">
        <v>190.3572</v>
      </c>
      <c r="O49" s="99">
        <v>88.1484</v>
      </c>
      <c r="P49" s="8">
        <f t="shared" si="10"/>
        <v>449.06710000000004</v>
      </c>
    </row>
    <row r="50" spans="1:16" ht="19.5" customHeight="1">
      <c r="A50" s="378"/>
      <c r="B50" s="379"/>
      <c r="C50" s="48" t="s">
        <v>18</v>
      </c>
      <c r="D50" s="107"/>
      <c r="E50" s="100"/>
      <c r="F50" s="100"/>
      <c r="G50" s="100"/>
      <c r="H50" s="163">
        <v>10.044000111913304</v>
      </c>
      <c r="I50" s="104">
        <v>5.248800109220296</v>
      </c>
      <c r="J50" s="216">
        <v>800.3404762861694</v>
      </c>
      <c r="K50" s="100">
        <v>1155.8980592519026</v>
      </c>
      <c r="L50" s="100">
        <v>131.92199785808188</v>
      </c>
      <c r="M50" s="107">
        <v>11736.262734179627</v>
      </c>
      <c r="N50" s="222">
        <v>12223.503853279919</v>
      </c>
      <c r="O50" s="216">
        <v>7658.755128936721</v>
      </c>
      <c r="P50" s="9">
        <f t="shared" si="10"/>
        <v>33721.975050013556</v>
      </c>
    </row>
    <row r="51" spans="1:16" ht="19.5" customHeight="1">
      <c r="A51" s="376" t="s">
        <v>47</v>
      </c>
      <c r="B51" s="377"/>
      <c r="C51" s="54" t="s">
        <v>16</v>
      </c>
      <c r="D51" s="106"/>
      <c r="E51" s="99"/>
      <c r="F51" s="99"/>
      <c r="G51" s="99"/>
      <c r="H51" s="162"/>
      <c r="I51" s="116">
        <v>0.008</v>
      </c>
      <c r="J51" s="99"/>
      <c r="K51" s="99">
        <v>3.414</v>
      </c>
      <c r="L51" s="99">
        <v>13.025</v>
      </c>
      <c r="M51" s="106">
        <v>4.36</v>
      </c>
      <c r="N51" s="102">
        <v>0.092</v>
      </c>
      <c r="O51" s="99"/>
      <c r="P51" s="8">
        <f t="shared" si="10"/>
        <v>20.898999999999997</v>
      </c>
    </row>
    <row r="52" spans="1:16" ht="19.5" customHeight="1">
      <c r="A52" s="378"/>
      <c r="B52" s="379"/>
      <c r="C52" s="48" t="s">
        <v>18</v>
      </c>
      <c r="D52" s="107"/>
      <c r="E52" s="100"/>
      <c r="F52" s="100"/>
      <c r="G52" s="100"/>
      <c r="H52" s="163"/>
      <c r="I52" s="124">
        <v>2.5920000539359482</v>
      </c>
      <c r="J52" s="216"/>
      <c r="K52" s="100">
        <v>4397.198321071328</v>
      </c>
      <c r="L52" s="100">
        <v>6074.5247013725175</v>
      </c>
      <c r="M52" s="107">
        <v>2195.899187684759</v>
      </c>
      <c r="N52" s="222">
        <v>70.45920076825735</v>
      </c>
      <c r="O52" s="100"/>
      <c r="P52" s="9">
        <f t="shared" si="10"/>
        <v>12740.673410950798</v>
      </c>
    </row>
    <row r="53" spans="1:16" ht="19.5" customHeight="1">
      <c r="A53" s="376" t="s">
        <v>48</v>
      </c>
      <c r="B53" s="377"/>
      <c r="C53" s="54" t="s">
        <v>16</v>
      </c>
      <c r="D53" s="106"/>
      <c r="E53" s="99"/>
      <c r="F53" s="99">
        <v>0.1732</v>
      </c>
      <c r="G53" s="99">
        <v>0.3254</v>
      </c>
      <c r="H53" s="159">
        <v>0.1448</v>
      </c>
      <c r="I53" s="123">
        <v>0.1125</v>
      </c>
      <c r="J53" s="99"/>
      <c r="K53" s="99">
        <v>0.0015</v>
      </c>
      <c r="L53" s="99">
        <v>0.0186</v>
      </c>
      <c r="M53" s="106">
        <v>0.063</v>
      </c>
      <c r="N53" s="102">
        <v>0.0353</v>
      </c>
      <c r="O53" s="99"/>
      <c r="P53" s="8">
        <f t="shared" si="10"/>
        <v>0.8743</v>
      </c>
    </row>
    <row r="54" spans="1:16" ht="19.5" customHeight="1">
      <c r="A54" s="378"/>
      <c r="B54" s="379"/>
      <c r="C54" s="48" t="s">
        <v>18</v>
      </c>
      <c r="D54" s="107"/>
      <c r="E54" s="100"/>
      <c r="F54" s="100">
        <v>176.69402866138105</v>
      </c>
      <c r="G54" s="100">
        <v>328.8869944818812</v>
      </c>
      <c r="H54" s="158">
        <v>169.90560189313985</v>
      </c>
      <c r="I54" s="124">
        <v>111.82320232688672</v>
      </c>
      <c r="J54" s="216"/>
      <c r="K54" s="100">
        <v>0.2429999956382074</v>
      </c>
      <c r="L54" s="100">
        <v>2.5109999592307846</v>
      </c>
      <c r="M54" s="107">
        <v>7.415279958412954</v>
      </c>
      <c r="N54" s="222">
        <v>29.25720031900815</v>
      </c>
      <c r="O54" s="216"/>
      <c r="P54" s="9">
        <f t="shared" si="10"/>
        <v>826.7363075955789</v>
      </c>
    </row>
    <row r="55" spans="1:16" ht="19.5" customHeight="1">
      <c r="A55" s="45" t="s">
        <v>0</v>
      </c>
      <c r="B55" s="382" t="s">
        <v>132</v>
      </c>
      <c r="C55" s="54" t="s">
        <v>16</v>
      </c>
      <c r="D55" s="106">
        <v>0.5373</v>
      </c>
      <c r="E55" s="99">
        <v>0.6046</v>
      </c>
      <c r="F55" s="99">
        <v>0.7417</v>
      </c>
      <c r="G55" s="99">
        <v>0.7345</v>
      </c>
      <c r="H55" s="162">
        <v>0.6835</v>
      </c>
      <c r="I55" s="123">
        <v>0.6404</v>
      </c>
      <c r="J55" s="99">
        <v>0.5749</v>
      </c>
      <c r="K55" s="99">
        <v>0.6594</v>
      </c>
      <c r="L55" s="99">
        <v>0.7279</v>
      </c>
      <c r="M55" s="106">
        <v>0.7251</v>
      </c>
      <c r="N55" s="102">
        <v>0.7842</v>
      </c>
      <c r="O55" s="99">
        <v>1.2367</v>
      </c>
      <c r="P55" s="8">
        <f aca="true" t="shared" si="11" ref="P55:P68">SUM(D55:O55)</f>
        <v>8.6502</v>
      </c>
    </row>
    <row r="56" spans="1:16" ht="19.5" customHeight="1">
      <c r="A56" s="45" t="s">
        <v>38</v>
      </c>
      <c r="B56" s="383"/>
      <c r="C56" s="48" t="s">
        <v>18</v>
      </c>
      <c r="D56" s="107">
        <v>507.7486140872999</v>
      </c>
      <c r="E56" s="100">
        <v>571.3787358138048</v>
      </c>
      <c r="F56" s="100">
        <v>700.4131136133875</v>
      </c>
      <c r="G56" s="100">
        <v>713.9339880215008</v>
      </c>
      <c r="H56" s="163">
        <v>662.6448073833898</v>
      </c>
      <c r="I56" s="104">
        <v>546.5502113729565</v>
      </c>
      <c r="J56" s="216">
        <v>501.85223767124836</v>
      </c>
      <c r="K56" s="100">
        <v>597.9041892677609</v>
      </c>
      <c r="L56" s="100">
        <v>623.6567898741544</v>
      </c>
      <c r="M56" s="107">
        <v>640.903316405628</v>
      </c>
      <c r="N56" s="222">
        <v>705.6720076943493</v>
      </c>
      <c r="O56" s="216">
        <v>1102.6907897684648</v>
      </c>
      <c r="P56" s="9">
        <f t="shared" si="11"/>
        <v>7875.348800973945</v>
      </c>
    </row>
    <row r="57" spans="1:16" ht="19.5" customHeight="1">
      <c r="A57" s="45" t="s">
        <v>17</v>
      </c>
      <c r="B57" s="47" t="s">
        <v>20</v>
      </c>
      <c r="C57" s="54" t="s">
        <v>16</v>
      </c>
      <c r="D57" s="106">
        <v>0.0753</v>
      </c>
      <c r="E57" s="99">
        <v>0.2536</v>
      </c>
      <c r="F57" s="99">
        <v>0.163</v>
      </c>
      <c r="G57" s="99">
        <v>1.652</v>
      </c>
      <c r="H57" s="164">
        <v>1.172</v>
      </c>
      <c r="I57" s="146">
        <v>0.0219</v>
      </c>
      <c r="J57" s="99">
        <v>0.1872</v>
      </c>
      <c r="K57" s="99">
        <v>0.3675</v>
      </c>
      <c r="L57" s="99">
        <v>9.7372</v>
      </c>
      <c r="M57" s="106">
        <v>7.6356</v>
      </c>
      <c r="N57" s="102">
        <v>2.2366</v>
      </c>
      <c r="O57" s="99">
        <v>1.6566</v>
      </c>
      <c r="P57" s="8">
        <f t="shared" si="11"/>
        <v>25.1585</v>
      </c>
    </row>
    <row r="58" spans="1:16" ht="19.5" customHeight="1">
      <c r="A58" s="45" t="s">
        <v>23</v>
      </c>
      <c r="B58" s="48" t="s">
        <v>113</v>
      </c>
      <c r="C58" s="48" t="s">
        <v>18</v>
      </c>
      <c r="D58" s="107">
        <v>3.270750734913124</v>
      </c>
      <c r="E58" s="100">
        <v>32.10901325171574</v>
      </c>
      <c r="F58" s="100">
        <v>14.910002418538216</v>
      </c>
      <c r="G58" s="100">
        <v>125.78759788951548</v>
      </c>
      <c r="H58" s="165">
        <v>71.00460079115486</v>
      </c>
      <c r="I58" s="145">
        <v>9.44460019652911</v>
      </c>
      <c r="J58" s="227">
        <v>12.311999942868463</v>
      </c>
      <c r="K58" s="100">
        <v>45.856799176881275</v>
      </c>
      <c r="L58" s="100">
        <v>870.7921058616043</v>
      </c>
      <c r="M58" s="107">
        <v>940.8776347232847</v>
      </c>
      <c r="N58" s="222">
        <v>245.20968267366274</v>
      </c>
      <c r="O58" s="216">
        <v>197.10863817108842</v>
      </c>
      <c r="P58" s="9">
        <f t="shared" si="11"/>
        <v>2568.6834258317563</v>
      </c>
    </row>
    <row r="59" spans="1:16" s="38" customFormat="1" ht="19.5" customHeight="1">
      <c r="A59" s="50"/>
      <c r="B59" s="380" t="s">
        <v>107</v>
      </c>
      <c r="C59" s="54" t="s">
        <v>16</v>
      </c>
      <c r="D59" s="223">
        <f>D55+D57</f>
        <v>0.6126</v>
      </c>
      <c r="E59" s="223">
        <f>E55+E57</f>
        <v>0.8582000000000001</v>
      </c>
      <c r="F59" s="224">
        <f aca="true" t="shared" si="12" ref="F59:L59">F55+F57</f>
        <v>0.9047000000000001</v>
      </c>
      <c r="G59" s="224">
        <f t="shared" si="12"/>
        <v>2.3865</v>
      </c>
      <c r="H59" s="28">
        <f t="shared" si="12"/>
        <v>1.8555</v>
      </c>
      <c r="I59" s="137">
        <f t="shared" si="12"/>
        <v>0.6623</v>
      </c>
      <c r="J59" s="1">
        <f t="shared" si="12"/>
        <v>0.7621</v>
      </c>
      <c r="K59" s="1">
        <f t="shared" si="12"/>
        <v>1.0269</v>
      </c>
      <c r="L59" s="5">
        <f t="shared" si="12"/>
        <v>10.4651</v>
      </c>
      <c r="M59" s="5">
        <f aca="true" t="shared" si="13" ref="M59:O60">+M55+M57</f>
        <v>8.3607</v>
      </c>
      <c r="N59" s="5">
        <f t="shared" si="13"/>
        <v>3.0208000000000004</v>
      </c>
      <c r="O59" s="5">
        <f t="shared" si="13"/>
        <v>2.8933</v>
      </c>
      <c r="P59" s="8">
        <f>SUM(D59:O59)</f>
        <v>33.8087</v>
      </c>
    </row>
    <row r="60" spans="1:16" s="38" customFormat="1" ht="19.5" customHeight="1">
      <c r="A60" s="49"/>
      <c r="B60" s="381"/>
      <c r="C60" s="48" t="s">
        <v>18</v>
      </c>
      <c r="D60" s="225">
        <f>D56+D58</f>
        <v>511.01936482221305</v>
      </c>
      <c r="E60" s="225">
        <f>E56+E58</f>
        <v>603.4877490655206</v>
      </c>
      <c r="F60" s="226">
        <f aca="true" t="shared" si="14" ref="F60:L60">F56+F58</f>
        <v>715.3231160319257</v>
      </c>
      <c r="G60" s="226">
        <f t="shared" si="14"/>
        <v>839.7215859110163</v>
      </c>
      <c r="H60" s="86">
        <f t="shared" si="14"/>
        <v>733.6494081745446</v>
      </c>
      <c r="I60" s="53">
        <f t="shared" si="14"/>
        <v>555.9948115694856</v>
      </c>
      <c r="J60" s="2">
        <f t="shared" si="14"/>
        <v>514.1642376141168</v>
      </c>
      <c r="K60" s="2">
        <f t="shared" si="14"/>
        <v>643.7609884446422</v>
      </c>
      <c r="L60" s="34">
        <f t="shared" si="14"/>
        <v>1494.4488957357587</v>
      </c>
      <c r="M60" s="34">
        <f t="shared" si="13"/>
        <v>1581.7809511289126</v>
      </c>
      <c r="N60" s="34">
        <f t="shared" si="13"/>
        <v>950.8816903680121</v>
      </c>
      <c r="O60" s="34">
        <f t="shared" si="13"/>
        <v>1299.7994279395532</v>
      </c>
      <c r="P60" s="9">
        <f>SUM(D60:O60)</f>
        <v>10444.032226805703</v>
      </c>
    </row>
    <row r="61" spans="1:16" ht="19.5" customHeight="1">
      <c r="A61" s="45" t="s">
        <v>0</v>
      </c>
      <c r="B61" s="382" t="s">
        <v>115</v>
      </c>
      <c r="C61" s="54" t="s">
        <v>16</v>
      </c>
      <c r="D61" s="106">
        <v>1.0544</v>
      </c>
      <c r="E61" s="99">
        <v>0.0074</v>
      </c>
      <c r="F61" s="99">
        <v>0.0959</v>
      </c>
      <c r="G61" s="99">
        <v>0.1349</v>
      </c>
      <c r="H61" s="162">
        <v>0.4546</v>
      </c>
      <c r="I61" s="123">
        <v>0.28</v>
      </c>
      <c r="J61" s="99">
        <v>1.1965</v>
      </c>
      <c r="K61" s="99">
        <v>0.558</v>
      </c>
      <c r="L61" s="99">
        <v>0.4266</v>
      </c>
      <c r="M61" s="106">
        <v>0.2837</v>
      </c>
      <c r="N61" s="102">
        <v>35.3035</v>
      </c>
      <c r="O61" s="99">
        <v>2.7605</v>
      </c>
      <c r="P61" s="8">
        <f t="shared" si="11"/>
        <v>42.556</v>
      </c>
    </row>
    <row r="62" spans="1:16" ht="19.5" customHeight="1">
      <c r="A62" s="45" t="s">
        <v>49</v>
      </c>
      <c r="B62" s="383"/>
      <c r="C62" s="48" t="s">
        <v>18</v>
      </c>
      <c r="D62" s="107">
        <v>98.19707206414455</v>
      </c>
      <c r="E62" s="100">
        <v>0.5932502448403987</v>
      </c>
      <c r="F62" s="100">
        <v>5.507250893326264</v>
      </c>
      <c r="G62" s="100">
        <v>7.390439876002013</v>
      </c>
      <c r="H62" s="163">
        <v>31.154760347135813</v>
      </c>
      <c r="I62" s="124">
        <v>21.124800439577978</v>
      </c>
      <c r="J62" s="216">
        <v>90.32579958086</v>
      </c>
      <c r="K62" s="100">
        <v>42.184799242792806</v>
      </c>
      <c r="L62" s="100">
        <v>48.74579920855116</v>
      </c>
      <c r="M62" s="107">
        <v>24.5851198621195</v>
      </c>
      <c r="N62" s="222">
        <v>2863.976431227589</v>
      </c>
      <c r="O62" s="216">
        <v>239.91119777393635</v>
      </c>
      <c r="P62" s="9">
        <f t="shared" si="11"/>
        <v>3473.6967207608755</v>
      </c>
    </row>
    <row r="63" spans="1:16" ht="19.5" customHeight="1">
      <c r="A63" s="45" t="s">
        <v>0</v>
      </c>
      <c r="B63" s="47" t="s">
        <v>50</v>
      </c>
      <c r="C63" s="54" t="s">
        <v>16</v>
      </c>
      <c r="D63" s="106"/>
      <c r="E63" s="99"/>
      <c r="F63" s="99"/>
      <c r="G63" s="99">
        <v>6.013</v>
      </c>
      <c r="H63" s="159"/>
      <c r="I63" s="123"/>
      <c r="J63" s="99"/>
      <c r="K63" s="99">
        <v>0</v>
      </c>
      <c r="L63" s="99">
        <v>39.915</v>
      </c>
      <c r="M63" s="106">
        <v>42.305</v>
      </c>
      <c r="N63" s="102">
        <v>18.901</v>
      </c>
      <c r="O63" s="99">
        <v>6.48</v>
      </c>
      <c r="P63" s="8">
        <f t="shared" si="11"/>
        <v>113.614</v>
      </c>
    </row>
    <row r="64" spans="1:16" ht="19.5" customHeight="1">
      <c r="A64" s="45" t="s">
        <v>51</v>
      </c>
      <c r="B64" s="48" t="s">
        <v>116</v>
      </c>
      <c r="C64" s="48" t="s">
        <v>18</v>
      </c>
      <c r="D64" s="107"/>
      <c r="E64" s="100"/>
      <c r="F64" s="100"/>
      <c r="G64" s="100">
        <v>519.5231912833565</v>
      </c>
      <c r="H64" s="158"/>
      <c r="I64" s="104"/>
      <c r="J64" s="100"/>
      <c r="K64" s="100">
        <v>0.5399999903071275</v>
      </c>
      <c r="L64" s="100">
        <v>3389.0399449747106</v>
      </c>
      <c r="M64" s="107">
        <v>3688.502379313807</v>
      </c>
      <c r="N64" s="222">
        <v>1454.1876158558473</v>
      </c>
      <c r="O64" s="216">
        <v>492.91199542641823</v>
      </c>
      <c r="P64" s="9">
        <f t="shared" si="11"/>
        <v>9544.705126844448</v>
      </c>
    </row>
    <row r="65" spans="1:16" ht="19.5" customHeight="1">
      <c r="A65" s="45" t="s">
        <v>0</v>
      </c>
      <c r="B65" s="382" t="s">
        <v>53</v>
      </c>
      <c r="C65" s="54" t="s">
        <v>16</v>
      </c>
      <c r="D65" s="106"/>
      <c r="E65" s="99"/>
      <c r="F65" s="99"/>
      <c r="G65" s="99">
        <v>0.05</v>
      </c>
      <c r="H65" s="159"/>
      <c r="I65" s="116"/>
      <c r="J65" s="99"/>
      <c r="K65" s="99"/>
      <c r="L65" s="99"/>
      <c r="M65" s="106"/>
      <c r="N65" s="102"/>
      <c r="O65" s="99"/>
      <c r="P65" s="8">
        <f t="shared" si="11"/>
        <v>0.05</v>
      </c>
    </row>
    <row r="66" spans="1:16" ht="19.5" customHeight="1">
      <c r="A66" s="45" t="s">
        <v>23</v>
      </c>
      <c r="B66" s="383"/>
      <c r="C66" s="48" t="s">
        <v>18</v>
      </c>
      <c r="D66" s="107"/>
      <c r="E66" s="100"/>
      <c r="F66" s="100"/>
      <c r="G66" s="100">
        <v>5.399999909397934</v>
      </c>
      <c r="H66" s="158"/>
      <c r="I66" s="124"/>
      <c r="J66" s="100"/>
      <c r="K66" s="100"/>
      <c r="L66" s="100"/>
      <c r="M66" s="107"/>
      <c r="N66" s="228"/>
      <c r="O66" s="216"/>
      <c r="P66" s="9">
        <f t="shared" si="11"/>
        <v>5.399999909397934</v>
      </c>
    </row>
    <row r="67" spans="1:16" ht="19.5" customHeight="1">
      <c r="A67" s="45"/>
      <c r="B67" s="47" t="s">
        <v>20</v>
      </c>
      <c r="C67" s="54" t="s">
        <v>16</v>
      </c>
      <c r="D67" s="106">
        <v>0.166</v>
      </c>
      <c r="E67" s="99"/>
      <c r="F67" s="99"/>
      <c r="G67" s="99">
        <v>0.221</v>
      </c>
      <c r="H67" s="159">
        <v>0.043</v>
      </c>
      <c r="I67" s="123"/>
      <c r="J67" s="99"/>
      <c r="K67" s="99"/>
      <c r="L67" s="99">
        <v>0.483</v>
      </c>
      <c r="M67" s="106">
        <v>1.483</v>
      </c>
      <c r="N67" s="102">
        <v>0.482</v>
      </c>
      <c r="O67" s="99">
        <v>0.378</v>
      </c>
      <c r="P67" s="8">
        <f t="shared" si="11"/>
        <v>3.2560000000000002</v>
      </c>
    </row>
    <row r="68" spans="1:16" ht="19.5" customHeight="1" thickBot="1">
      <c r="A68" s="51" t="s">
        <v>0</v>
      </c>
      <c r="B68" s="52" t="s">
        <v>116</v>
      </c>
      <c r="C68" s="52" t="s">
        <v>18</v>
      </c>
      <c r="D68" s="108">
        <v>1.3944003133112772</v>
      </c>
      <c r="E68" s="101"/>
      <c r="F68" s="101"/>
      <c r="G68" s="101">
        <v>15.6815997368916</v>
      </c>
      <c r="H68" s="166">
        <v>1.9224000214199655</v>
      </c>
      <c r="I68" s="105"/>
      <c r="J68" s="229"/>
      <c r="K68" s="101"/>
      <c r="L68" s="101">
        <v>34.27919944343445</v>
      </c>
      <c r="M68" s="108">
        <v>103.19399942125806</v>
      </c>
      <c r="N68" s="230">
        <v>161.25480175825422</v>
      </c>
      <c r="O68" s="229">
        <v>128.03399881201113</v>
      </c>
      <c r="P68" s="10">
        <f t="shared" si="11"/>
        <v>445.76039950658065</v>
      </c>
    </row>
    <row r="69" spans="4:16" ht="19.5" customHeight="1">
      <c r="D69" s="231"/>
      <c r="E69" s="232"/>
      <c r="F69" s="232"/>
      <c r="G69" s="232"/>
      <c r="H69" s="233"/>
      <c r="I69" s="234"/>
      <c r="J69" s="232"/>
      <c r="K69" s="232"/>
      <c r="L69" s="232"/>
      <c r="M69" s="231"/>
      <c r="N69" s="232"/>
      <c r="O69" s="232"/>
      <c r="P69" s="11"/>
    </row>
    <row r="70" spans="4:16" ht="19.5" customHeight="1">
      <c r="D70" s="231"/>
      <c r="E70" s="232"/>
      <c r="F70" s="232"/>
      <c r="G70" s="232"/>
      <c r="H70" s="231"/>
      <c r="I70" s="232"/>
      <c r="J70" s="232"/>
      <c r="K70" s="232"/>
      <c r="L70" s="232"/>
      <c r="M70" s="231"/>
      <c r="N70" s="232"/>
      <c r="O70" s="232"/>
      <c r="P70" s="11"/>
    </row>
    <row r="71" spans="4:16" ht="19.5" customHeight="1">
      <c r="D71" s="231"/>
      <c r="E71" s="232"/>
      <c r="F71" s="232"/>
      <c r="G71" s="232"/>
      <c r="H71" s="231"/>
      <c r="I71" s="232"/>
      <c r="J71" s="232"/>
      <c r="K71" s="232"/>
      <c r="L71" s="232"/>
      <c r="M71" s="231"/>
      <c r="N71" s="232"/>
      <c r="O71" s="232"/>
      <c r="P71" s="11"/>
    </row>
    <row r="72" spans="4:16" ht="19.5" customHeight="1">
      <c r="D72" s="231"/>
      <c r="E72" s="232"/>
      <c r="F72" s="232"/>
      <c r="G72" s="232"/>
      <c r="H72" s="231"/>
      <c r="I72" s="232"/>
      <c r="J72" s="232"/>
      <c r="K72" s="232"/>
      <c r="L72" s="232"/>
      <c r="M72" s="231"/>
      <c r="N72" s="232"/>
      <c r="O72" s="232"/>
      <c r="P72" s="11"/>
    </row>
    <row r="73" spans="4:16" ht="19.5" customHeight="1">
      <c r="D73" s="231"/>
      <c r="E73" s="232"/>
      <c r="F73" s="232"/>
      <c r="G73" s="232"/>
      <c r="H73" s="231"/>
      <c r="I73" s="232"/>
      <c r="J73" s="232"/>
      <c r="K73" s="232"/>
      <c r="L73" s="232"/>
      <c r="M73" s="231"/>
      <c r="N73" s="232"/>
      <c r="O73" s="232"/>
      <c r="P73" s="11"/>
    </row>
    <row r="74" spans="1:16" ht="19.5" customHeight="1" thickBot="1">
      <c r="A74" s="12"/>
      <c r="B74" s="39" t="s">
        <v>1</v>
      </c>
      <c r="C74" s="12"/>
      <c r="D74" s="235"/>
      <c r="E74" s="120"/>
      <c r="F74" s="120"/>
      <c r="G74" s="120"/>
      <c r="H74" s="231"/>
      <c r="I74" s="120"/>
      <c r="J74" s="120"/>
      <c r="K74" s="120"/>
      <c r="L74" s="120"/>
      <c r="M74" s="235"/>
      <c r="N74" s="120"/>
      <c r="O74" s="120"/>
      <c r="P74" s="12"/>
    </row>
    <row r="75" spans="1:16" ht="19.5" customHeight="1">
      <c r="A75" s="49"/>
      <c r="B75" s="53"/>
      <c r="C75" s="53"/>
      <c r="D75" s="236" t="s">
        <v>2</v>
      </c>
      <c r="E75" s="237" t="s">
        <v>3</v>
      </c>
      <c r="F75" s="237" t="s">
        <v>4</v>
      </c>
      <c r="G75" s="238" t="s">
        <v>5</v>
      </c>
      <c r="H75" s="239" t="s">
        <v>6</v>
      </c>
      <c r="I75" s="237" t="s">
        <v>7</v>
      </c>
      <c r="J75" s="237" t="s">
        <v>8</v>
      </c>
      <c r="K75" s="237" t="s">
        <v>9</v>
      </c>
      <c r="L75" s="237" t="s">
        <v>10</v>
      </c>
      <c r="M75" s="236" t="s">
        <v>11</v>
      </c>
      <c r="N75" s="240" t="s">
        <v>12</v>
      </c>
      <c r="O75" s="237" t="s">
        <v>13</v>
      </c>
      <c r="P75" s="43" t="s">
        <v>14</v>
      </c>
    </row>
    <row r="76" spans="1:16" s="38" customFormat="1" ht="19.5" customHeight="1">
      <c r="A76" s="44" t="s">
        <v>49</v>
      </c>
      <c r="B76" s="380" t="s">
        <v>114</v>
      </c>
      <c r="C76" s="54" t="s">
        <v>16</v>
      </c>
      <c r="D76" s="223">
        <f>D61+D63+D65+D67</f>
        <v>1.2204</v>
      </c>
      <c r="E76" s="223">
        <f aca="true" t="shared" si="15" ref="E76:L76">E61+E63+E65+E67</f>
        <v>0.0074</v>
      </c>
      <c r="F76" s="224">
        <f t="shared" si="15"/>
        <v>0.0959</v>
      </c>
      <c r="G76" s="224">
        <f t="shared" si="15"/>
        <v>6.4189</v>
      </c>
      <c r="H76" s="28">
        <f t="shared" si="15"/>
        <v>0.4976</v>
      </c>
      <c r="I76" s="137">
        <f t="shared" si="15"/>
        <v>0.28</v>
      </c>
      <c r="J76" s="1">
        <f t="shared" si="15"/>
        <v>1.1965</v>
      </c>
      <c r="K76" s="1">
        <f t="shared" si="15"/>
        <v>0.558</v>
      </c>
      <c r="L76" s="5">
        <f t="shared" si="15"/>
        <v>40.8246</v>
      </c>
      <c r="M76" s="5">
        <f aca="true" t="shared" si="16" ref="M76:P77">+M61+M63+M65+M67</f>
        <v>44.0717</v>
      </c>
      <c r="N76" s="5">
        <f t="shared" si="16"/>
        <v>54.686499999999995</v>
      </c>
      <c r="O76" s="5">
        <f t="shared" si="16"/>
        <v>9.618500000000001</v>
      </c>
      <c r="P76" s="8">
        <f t="shared" si="16"/>
        <v>159.47600000000003</v>
      </c>
    </row>
    <row r="77" spans="1:16" s="38" customFormat="1" ht="19.5" customHeight="1">
      <c r="A77" s="69" t="s">
        <v>51</v>
      </c>
      <c r="B77" s="381"/>
      <c r="C77" s="48" t="s">
        <v>18</v>
      </c>
      <c r="D77" s="225">
        <f>D62+D64+D66+D68</f>
        <v>99.59147237745583</v>
      </c>
      <c r="E77" s="225">
        <f aca="true" t="shared" si="17" ref="E77:L77">E62+E64+E66+E68</f>
        <v>0.5932502448403987</v>
      </c>
      <c r="F77" s="226">
        <f t="shared" si="17"/>
        <v>5.507250893326264</v>
      </c>
      <c r="G77" s="226">
        <f t="shared" si="17"/>
        <v>547.995230805648</v>
      </c>
      <c r="H77" s="86">
        <f t="shared" si="17"/>
        <v>33.07716036855578</v>
      </c>
      <c r="I77" s="53">
        <f t="shared" si="17"/>
        <v>21.124800439577978</v>
      </c>
      <c r="J77" s="2">
        <f t="shared" si="17"/>
        <v>90.32579958086</v>
      </c>
      <c r="K77" s="2">
        <f t="shared" si="17"/>
        <v>42.72479923309994</v>
      </c>
      <c r="L77" s="34">
        <f t="shared" si="17"/>
        <v>3472.0649436266963</v>
      </c>
      <c r="M77" s="97">
        <f t="shared" si="16"/>
        <v>3816.2814985971845</v>
      </c>
      <c r="N77" s="34">
        <f t="shared" si="16"/>
        <v>4479.41884884169</v>
      </c>
      <c r="O77" s="34">
        <f t="shared" si="16"/>
        <v>860.8571920123657</v>
      </c>
      <c r="P77" s="9">
        <f t="shared" si="16"/>
        <v>13469.562247021302</v>
      </c>
    </row>
    <row r="78" spans="1:16" ht="19.5" customHeight="1">
      <c r="A78" s="45" t="s">
        <v>0</v>
      </c>
      <c r="B78" s="382" t="s">
        <v>54</v>
      </c>
      <c r="C78" s="54" t="s">
        <v>16</v>
      </c>
      <c r="D78" s="106">
        <v>1.1302</v>
      </c>
      <c r="E78" s="99">
        <v>0.7697</v>
      </c>
      <c r="F78" s="99">
        <v>0.8674</v>
      </c>
      <c r="G78" s="99">
        <v>1.6194</v>
      </c>
      <c r="H78" s="166">
        <v>8.3427</v>
      </c>
      <c r="I78" s="123">
        <v>36.5703</v>
      </c>
      <c r="J78" s="99">
        <v>31.8023</v>
      </c>
      <c r="K78" s="99">
        <v>11.9636</v>
      </c>
      <c r="L78" s="99">
        <v>5.1565</v>
      </c>
      <c r="M78" s="106">
        <v>4.6896</v>
      </c>
      <c r="N78" s="102">
        <v>1.9673</v>
      </c>
      <c r="O78" s="99">
        <v>1.6124</v>
      </c>
      <c r="P78" s="8">
        <f>SUM(D78:O78)</f>
        <v>106.49139999999998</v>
      </c>
    </row>
    <row r="79" spans="1:16" ht="19.5" customHeight="1">
      <c r="A79" s="45" t="s">
        <v>34</v>
      </c>
      <c r="B79" s="383"/>
      <c r="C79" s="48" t="s">
        <v>18</v>
      </c>
      <c r="D79" s="107">
        <v>2082.4665179145854</v>
      </c>
      <c r="E79" s="100">
        <v>1601.5593609798075</v>
      </c>
      <c r="F79" s="100">
        <v>1792.2904407258366</v>
      </c>
      <c r="G79" s="100">
        <v>2856.5351520725944</v>
      </c>
      <c r="H79" s="160">
        <v>5671.39974319246</v>
      </c>
      <c r="I79" s="33">
        <v>14331.37349821613</v>
      </c>
      <c r="J79" s="216">
        <v>21508.02602019602</v>
      </c>
      <c r="K79" s="100">
        <v>13942.01998974403</v>
      </c>
      <c r="L79" s="100">
        <v>8256.94330593823</v>
      </c>
      <c r="M79" s="107">
        <v>9539.064306502156</v>
      </c>
      <c r="N79" s="222">
        <v>3365.0435166910124</v>
      </c>
      <c r="O79" s="216">
        <v>3352.9776888887313</v>
      </c>
      <c r="P79" s="9">
        <f>SUM(D79:O79)</f>
        <v>88299.6995410616</v>
      </c>
    </row>
    <row r="80" spans="1:16" ht="19.5" customHeight="1">
      <c r="A80" s="45" t="s">
        <v>0</v>
      </c>
      <c r="B80" s="382" t="s">
        <v>55</v>
      </c>
      <c r="C80" s="54" t="s">
        <v>16</v>
      </c>
      <c r="D80" s="106"/>
      <c r="E80" s="99"/>
      <c r="F80" s="99"/>
      <c r="G80" s="99"/>
      <c r="H80" s="159"/>
      <c r="I80" s="123"/>
      <c r="J80" s="99"/>
      <c r="K80" s="99"/>
      <c r="L80" s="99"/>
      <c r="M80" s="106"/>
      <c r="N80" s="102"/>
      <c r="O80" s="99"/>
      <c r="P80" s="8"/>
    </row>
    <row r="81" spans="1:16" ht="19.5" customHeight="1">
      <c r="A81" s="45" t="s">
        <v>0</v>
      </c>
      <c r="B81" s="383"/>
      <c r="C81" s="48" t="s">
        <v>18</v>
      </c>
      <c r="D81" s="107"/>
      <c r="E81" s="100"/>
      <c r="F81" s="100"/>
      <c r="G81" s="100"/>
      <c r="H81" s="158"/>
      <c r="I81" s="124"/>
      <c r="J81" s="100"/>
      <c r="K81" s="100"/>
      <c r="L81" s="100"/>
      <c r="M81" s="107"/>
      <c r="N81" s="103"/>
      <c r="O81" s="100"/>
      <c r="P81" s="9"/>
    </row>
    <row r="82" spans="1:16" ht="19.5" customHeight="1">
      <c r="A82" s="45" t="s">
        <v>56</v>
      </c>
      <c r="B82" s="47" t="s">
        <v>57</v>
      </c>
      <c r="C82" s="54" t="s">
        <v>16</v>
      </c>
      <c r="D82" s="106"/>
      <c r="E82" s="99"/>
      <c r="F82" s="99"/>
      <c r="G82" s="99"/>
      <c r="H82" s="162"/>
      <c r="I82" s="123"/>
      <c r="J82" s="99"/>
      <c r="K82" s="99"/>
      <c r="L82" s="99"/>
      <c r="M82" s="106"/>
      <c r="N82" s="102"/>
      <c r="O82" s="99"/>
      <c r="P82" s="8"/>
    </row>
    <row r="83" spans="1:16" ht="19.5" customHeight="1">
      <c r="A83" s="45"/>
      <c r="B83" s="48" t="s">
        <v>58</v>
      </c>
      <c r="C83" s="48" t="s">
        <v>18</v>
      </c>
      <c r="D83" s="107"/>
      <c r="E83" s="100"/>
      <c r="F83" s="100"/>
      <c r="G83" s="100"/>
      <c r="H83" s="163"/>
      <c r="I83" s="104"/>
      <c r="J83" s="100"/>
      <c r="K83" s="100"/>
      <c r="L83" s="100"/>
      <c r="M83" s="107"/>
      <c r="N83" s="103"/>
      <c r="O83" s="100"/>
      <c r="P83" s="9"/>
    </row>
    <row r="84" spans="1:16" ht="19.5" customHeight="1">
      <c r="A84" s="45"/>
      <c r="B84" s="382" t="s">
        <v>59</v>
      </c>
      <c r="C84" s="54" t="s">
        <v>16</v>
      </c>
      <c r="D84" s="106"/>
      <c r="E84" s="99"/>
      <c r="F84" s="99"/>
      <c r="G84" s="99"/>
      <c r="H84" s="159"/>
      <c r="I84" s="116"/>
      <c r="J84" s="99"/>
      <c r="K84" s="99"/>
      <c r="L84" s="99"/>
      <c r="M84" s="106"/>
      <c r="N84" s="102"/>
      <c r="O84" s="99"/>
      <c r="P84" s="8"/>
    </row>
    <row r="85" spans="1:16" ht="19.5" customHeight="1">
      <c r="A85" s="45" t="s">
        <v>17</v>
      </c>
      <c r="B85" s="383"/>
      <c r="C85" s="48" t="s">
        <v>18</v>
      </c>
      <c r="D85" s="107"/>
      <c r="E85" s="100"/>
      <c r="F85" s="100"/>
      <c r="G85" s="100"/>
      <c r="H85" s="158"/>
      <c r="I85" s="124"/>
      <c r="J85" s="100"/>
      <c r="K85" s="100"/>
      <c r="L85" s="100"/>
      <c r="M85" s="107"/>
      <c r="N85" s="103"/>
      <c r="O85" s="100"/>
      <c r="P85" s="9"/>
    </row>
    <row r="86" spans="1:16" ht="19.5" customHeight="1">
      <c r="A86" s="45"/>
      <c r="B86" s="47" t="s">
        <v>20</v>
      </c>
      <c r="C86" s="54" t="s">
        <v>16</v>
      </c>
      <c r="D86" s="106">
        <v>5.8176</v>
      </c>
      <c r="E86" s="99">
        <v>2.092</v>
      </c>
      <c r="F86" s="99">
        <v>2.8866</v>
      </c>
      <c r="G86" s="99">
        <v>5.4268</v>
      </c>
      <c r="H86" s="162">
        <v>7.0421</v>
      </c>
      <c r="I86" s="150">
        <v>4.0109</v>
      </c>
      <c r="J86" s="99">
        <v>4.7767</v>
      </c>
      <c r="K86" s="99">
        <v>1.9519</v>
      </c>
      <c r="L86" s="99">
        <v>3.3871</v>
      </c>
      <c r="M86" s="106">
        <v>1.702</v>
      </c>
      <c r="N86" s="102">
        <v>2.775</v>
      </c>
      <c r="O86" s="99">
        <v>8.6408</v>
      </c>
      <c r="P86" s="8">
        <f aca="true" t="shared" si="18" ref="P86:P103">SUM(D86:O86)</f>
        <v>50.509499999999996</v>
      </c>
    </row>
    <row r="87" spans="1:16" ht="19.5" customHeight="1">
      <c r="A87" s="45"/>
      <c r="B87" s="48" t="s">
        <v>60</v>
      </c>
      <c r="C87" s="48" t="s">
        <v>18</v>
      </c>
      <c r="D87" s="107">
        <v>2934.2655593074323</v>
      </c>
      <c r="E87" s="100">
        <v>1354.262208917762</v>
      </c>
      <c r="F87" s="100">
        <v>2069.476835687995</v>
      </c>
      <c r="G87" s="100">
        <v>3378.0855033219386</v>
      </c>
      <c r="H87" s="163">
        <v>2953.9674329140034</v>
      </c>
      <c r="I87" s="241">
        <v>2416.1836102774505</v>
      </c>
      <c r="J87" s="216">
        <v>3561.495463473545</v>
      </c>
      <c r="K87" s="100">
        <v>2233.5598399081277</v>
      </c>
      <c r="L87" s="100">
        <v>2088.307406093725</v>
      </c>
      <c r="M87" s="107">
        <v>1709.6831904115998</v>
      </c>
      <c r="N87" s="222">
        <v>2699.5043094342545</v>
      </c>
      <c r="O87" s="216">
        <v>10257.171384826801</v>
      </c>
      <c r="P87" s="9">
        <f t="shared" si="18"/>
        <v>37655.96274457464</v>
      </c>
    </row>
    <row r="88" spans="1:16" s="38" customFormat="1" ht="19.5" customHeight="1">
      <c r="A88" s="44" t="s">
        <v>23</v>
      </c>
      <c r="B88" s="380" t="s">
        <v>114</v>
      </c>
      <c r="C88" s="54" t="s">
        <v>16</v>
      </c>
      <c r="D88" s="223">
        <f>D78+D80+D82+D84+D86</f>
        <v>6.9478</v>
      </c>
      <c r="E88" s="223">
        <f aca="true" t="shared" si="19" ref="E88:L88">E78+E80+E82+E84+E86</f>
        <v>2.8617</v>
      </c>
      <c r="F88" s="224">
        <f t="shared" si="19"/>
        <v>3.754</v>
      </c>
      <c r="G88" s="224">
        <f t="shared" si="19"/>
        <v>7.0462</v>
      </c>
      <c r="H88" s="28">
        <f t="shared" si="19"/>
        <v>15.3848</v>
      </c>
      <c r="I88" s="137">
        <f t="shared" si="19"/>
        <v>40.5812</v>
      </c>
      <c r="J88" s="1">
        <f t="shared" si="19"/>
        <v>36.579</v>
      </c>
      <c r="K88" s="1">
        <f t="shared" si="19"/>
        <v>13.9155</v>
      </c>
      <c r="L88" s="5">
        <f t="shared" si="19"/>
        <v>8.543600000000001</v>
      </c>
      <c r="M88" s="5">
        <f aca="true" t="shared" si="20" ref="M88:O89">+M78+M80+M82+M84+M86</f>
        <v>6.3916</v>
      </c>
      <c r="N88" s="5">
        <f t="shared" si="20"/>
        <v>4.7423</v>
      </c>
      <c r="O88" s="5">
        <f t="shared" si="20"/>
        <v>10.2532</v>
      </c>
      <c r="P88" s="8">
        <f>SUM(D88:O88)</f>
        <v>157.00090000000003</v>
      </c>
    </row>
    <row r="89" spans="1:16" s="38" customFormat="1" ht="19.5" customHeight="1">
      <c r="A89" s="49"/>
      <c r="B89" s="381"/>
      <c r="C89" s="48" t="s">
        <v>18</v>
      </c>
      <c r="D89" s="225">
        <f>D79+D81+D83+D85+D87</f>
        <v>5016.732077222017</v>
      </c>
      <c r="E89" s="225">
        <f aca="true" t="shared" si="21" ref="E89:L89">E79+E81+E83+E85+E87</f>
        <v>2955.8215698975696</v>
      </c>
      <c r="F89" s="226">
        <f t="shared" si="21"/>
        <v>3861.7672764138315</v>
      </c>
      <c r="G89" s="226">
        <f t="shared" si="21"/>
        <v>6234.620655394533</v>
      </c>
      <c r="H89" s="86">
        <f t="shared" si="21"/>
        <v>8625.367176106463</v>
      </c>
      <c r="I89" s="53">
        <f t="shared" si="21"/>
        <v>16747.55710849358</v>
      </c>
      <c r="J89" s="2">
        <f t="shared" si="21"/>
        <v>25069.521483669563</v>
      </c>
      <c r="K89" s="2">
        <f t="shared" si="21"/>
        <v>16175.579829652159</v>
      </c>
      <c r="L89" s="34">
        <f t="shared" si="21"/>
        <v>10345.250712031955</v>
      </c>
      <c r="M89" s="34">
        <f t="shared" si="20"/>
        <v>11248.747496913755</v>
      </c>
      <c r="N89" s="34">
        <f t="shared" si="20"/>
        <v>6064.5478261252665</v>
      </c>
      <c r="O89" s="34">
        <f t="shared" si="20"/>
        <v>13610.149073715533</v>
      </c>
      <c r="P89" s="9">
        <f>SUM(D89:O89)</f>
        <v>125955.66228563621</v>
      </c>
    </row>
    <row r="90" spans="1:16" ht="19.5" customHeight="1">
      <c r="A90" s="376" t="s">
        <v>118</v>
      </c>
      <c r="B90" s="377"/>
      <c r="C90" s="54" t="s">
        <v>16</v>
      </c>
      <c r="D90" s="106">
        <v>0.8343</v>
      </c>
      <c r="E90" s="99">
        <v>0.2418</v>
      </c>
      <c r="F90" s="99">
        <v>0.0059</v>
      </c>
      <c r="G90" s="99">
        <v>0.0676</v>
      </c>
      <c r="H90" s="159">
        <v>0.3347</v>
      </c>
      <c r="I90" s="123">
        <v>0.6005</v>
      </c>
      <c r="J90" s="99">
        <v>0.5443</v>
      </c>
      <c r="K90" s="99">
        <v>0.0735</v>
      </c>
      <c r="L90" s="99">
        <v>0.4268</v>
      </c>
      <c r="M90" s="106">
        <v>0.2867</v>
      </c>
      <c r="N90" s="102">
        <v>1.2875</v>
      </c>
      <c r="O90" s="99">
        <v>0.7892</v>
      </c>
      <c r="P90" s="8">
        <f t="shared" si="18"/>
        <v>5.492800000000001</v>
      </c>
    </row>
    <row r="91" spans="1:16" ht="19.5" customHeight="1">
      <c r="A91" s="378"/>
      <c r="B91" s="379"/>
      <c r="C91" s="48" t="s">
        <v>18</v>
      </c>
      <c r="D91" s="107">
        <v>1053.1134866266907</v>
      </c>
      <c r="E91" s="100">
        <v>386.17965938026595</v>
      </c>
      <c r="F91" s="100">
        <v>8.463001372775917</v>
      </c>
      <c r="G91" s="100">
        <v>166.89239719985255</v>
      </c>
      <c r="H91" s="167">
        <v>642.9240071636547</v>
      </c>
      <c r="I91" s="124">
        <v>869.8914181012414</v>
      </c>
      <c r="J91" s="216">
        <v>681.4367968379198</v>
      </c>
      <c r="K91" s="100">
        <v>97.01099825867547</v>
      </c>
      <c r="L91" s="100">
        <v>465.5231924416505</v>
      </c>
      <c r="M91" s="107">
        <v>328.02299816035173</v>
      </c>
      <c r="N91" s="222">
        <v>1181.514612882736</v>
      </c>
      <c r="O91" s="100">
        <v>984.8627908617552</v>
      </c>
      <c r="P91" s="9">
        <f t="shared" si="18"/>
        <v>6865.835359287569</v>
      </c>
    </row>
    <row r="92" spans="1:16" ht="19.5" customHeight="1">
      <c r="A92" s="376" t="s">
        <v>61</v>
      </c>
      <c r="B92" s="377"/>
      <c r="C92" s="54" t="s">
        <v>16</v>
      </c>
      <c r="D92" s="106"/>
      <c r="E92" s="99"/>
      <c r="F92" s="99"/>
      <c r="G92" s="99"/>
      <c r="H92" s="157"/>
      <c r="I92" s="123"/>
      <c r="J92" s="99"/>
      <c r="K92" s="99"/>
      <c r="L92" s="99"/>
      <c r="M92" s="106"/>
      <c r="N92" s="102"/>
      <c r="O92" s="99"/>
      <c r="P92" s="8"/>
    </row>
    <row r="93" spans="1:16" ht="19.5" customHeight="1">
      <c r="A93" s="378"/>
      <c r="B93" s="379"/>
      <c r="C93" s="48" t="s">
        <v>18</v>
      </c>
      <c r="D93" s="107"/>
      <c r="E93" s="100"/>
      <c r="F93" s="100"/>
      <c r="G93" s="100"/>
      <c r="H93" s="163"/>
      <c r="I93" s="124"/>
      <c r="J93" s="100"/>
      <c r="K93" s="100"/>
      <c r="L93" s="100"/>
      <c r="M93" s="107"/>
      <c r="N93" s="103"/>
      <c r="O93" s="100"/>
      <c r="P93" s="9"/>
    </row>
    <row r="94" spans="1:16" ht="19.5" customHeight="1">
      <c r="A94" s="376" t="s">
        <v>119</v>
      </c>
      <c r="B94" s="377"/>
      <c r="C94" s="54" t="s">
        <v>16</v>
      </c>
      <c r="D94" s="106"/>
      <c r="E94" s="99"/>
      <c r="F94" s="99"/>
      <c r="G94" s="99"/>
      <c r="H94" s="162"/>
      <c r="I94" s="123"/>
      <c r="J94" s="99"/>
      <c r="K94" s="99"/>
      <c r="L94" s="99"/>
      <c r="M94" s="106"/>
      <c r="N94" s="102"/>
      <c r="O94" s="99"/>
      <c r="P94" s="8"/>
    </row>
    <row r="95" spans="1:16" ht="19.5" customHeight="1">
      <c r="A95" s="378"/>
      <c r="B95" s="379"/>
      <c r="C95" s="48" t="s">
        <v>18</v>
      </c>
      <c r="D95" s="107"/>
      <c r="E95" s="100"/>
      <c r="F95" s="100"/>
      <c r="G95" s="100"/>
      <c r="H95" s="163"/>
      <c r="I95" s="124"/>
      <c r="J95" s="100"/>
      <c r="K95" s="100"/>
      <c r="L95" s="100"/>
      <c r="M95" s="107"/>
      <c r="N95" s="103"/>
      <c r="O95" s="216"/>
      <c r="P95" s="9"/>
    </row>
    <row r="96" spans="1:16" ht="19.5" customHeight="1">
      <c r="A96" s="376" t="s">
        <v>139</v>
      </c>
      <c r="B96" s="377"/>
      <c r="C96" s="54" t="s">
        <v>16</v>
      </c>
      <c r="D96" s="106"/>
      <c r="E96" s="99">
        <v>0.309</v>
      </c>
      <c r="F96" s="99">
        <v>0.1675</v>
      </c>
      <c r="G96" s="99">
        <v>0.264</v>
      </c>
      <c r="H96" s="159"/>
      <c r="I96" s="123">
        <v>0.234</v>
      </c>
      <c r="J96" s="99">
        <v>0.02</v>
      </c>
      <c r="K96" s="99"/>
      <c r="L96" s="99">
        <v>0.03</v>
      </c>
      <c r="M96" s="106">
        <v>0.066</v>
      </c>
      <c r="N96" s="102"/>
      <c r="O96" s="99">
        <v>0.11</v>
      </c>
      <c r="P96" s="8">
        <f t="shared" si="18"/>
        <v>1.2005000000000001</v>
      </c>
    </row>
    <row r="97" spans="1:16" ht="19.5" customHeight="1">
      <c r="A97" s="378"/>
      <c r="B97" s="379"/>
      <c r="C97" s="48" t="s">
        <v>18</v>
      </c>
      <c r="D97" s="107"/>
      <c r="E97" s="100">
        <v>908.2503748441503</v>
      </c>
      <c r="F97" s="100">
        <v>371.175060207976</v>
      </c>
      <c r="G97" s="100">
        <v>366.8759938444956</v>
      </c>
      <c r="H97" s="163"/>
      <c r="I97" s="33">
        <v>704.1600146525993</v>
      </c>
      <c r="J97" s="216">
        <v>73.43999965921539</v>
      </c>
      <c r="K97" s="100"/>
      <c r="L97" s="100">
        <v>103.67999831662594</v>
      </c>
      <c r="M97" s="107">
        <v>237.49199866807587</v>
      </c>
      <c r="N97" s="222"/>
      <c r="O97" s="216">
        <v>356.39999669307196</v>
      </c>
      <c r="P97" s="9">
        <f t="shared" si="18"/>
        <v>3121.4734368862105</v>
      </c>
    </row>
    <row r="98" spans="1:16" ht="19.5" customHeight="1">
      <c r="A98" s="376" t="s">
        <v>63</v>
      </c>
      <c r="B98" s="377"/>
      <c r="C98" s="54" t="s">
        <v>16</v>
      </c>
      <c r="D98" s="106"/>
      <c r="E98" s="99"/>
      <c r="F98" s="99"/>
      <c r="G98" s="99"/>
      <c r="H98" s="159"/>
      <c r="I98" s="123"/>
      <c r="J98" s="99"/>
      <c r="K98" s="99"/>
      <c r="L98" s="99"/>
      <c r="M98" s="106"/>
      <c r="N98" s="102"/>
      <c r="O98" s="99"/>
      <c r="P98" s="8"/>
    </row>
    <row r="99" spans="1:16" ht="19.5" customHeight="1">
      <c r="A99" s="378"/>
      <c r="B99" s="379"/>
      <c r="C99" s="48" t="s">
        <v>18</v>
      </c>
      <c r="D99" s="107"/>
      <c r="E99" s="100"/>
      <c r="F99" s="100"/>
      <c r="G99" s="100"/>
      <c r="H99" s="158"/>
      <c r="I99" s="104"/>
      <c r="J99" s="100"/>
      <c r="K99" s="100"/>
      <c r="L99" s="100"/>
      <c r="M99" s="107"/>
      <c r="N99" s="103"/>
      <c r="O99" s="100"/>
      <c r="P99" s="9"/>
    </row>
    <row r="100" spans="1:16" ht="19.5" customHeight="1">
      <c r="A100" s="376" t="s">
        <v>140</v>
      </c>
      <c r="B100" s="377"/>
      <c r="C100" s="54" t="s">
        <v>16</v>
      </c>
      <c r="D100" s="106">
        <v>0.042</v>
      </c>
      <c r="E100" s="99">
        <v>0.0082</v>
      </c>
      <c r="F100" s="99"/>
      <c r="G100" s="99"/>
      <c r="H100" s="159"/>
      <c r="I100" s="116"/>
      <c r="J100" s="99"/>
      <c r="K100" s="99"/>
      <c r="L100" s="99"/>
      <c r="M100" s="106"/>
      <c r="N100" s="102"/>
      <c r="O100" s="99"/>
      <c r="P100" s="8">
        <f t="shared" si="18"/>
        <v>0.0502</v>
      </c>
    </row>
    <row r="101" spans="1:16" ht="19.5" customHeight="1">
      <c r="A101" s="378"/>
      <c r="B101" s="379"/>
      <c r="C101" s="48" t="s">
        <v>18</v>
      </c>
      <c r="D101" s="107">
        <v>19.845004459023446</v>
      </c>
      <c r="E101" s="100">
        <v>3.4440014213743497</v>
      </c>
      <c r="F101" s="100"/>
      <c r="G101" s="100"/>
      <c r="H101" s="161"/>
      <c r="I101" s="104"/>
      <c r="J101" s="216"/>
      <c r="K101" s="100"/>
      <c r="L101" s="100"/>
      <c r="M101" s="107"/>
      <c r="N101" s="222"/>
      <c r="O101" s="216"/>
      <c r="P101" s="9">
        <f t="shared" si="18"/>
        <v>23.289005880397795</v>
      </c>
    </row>
    <row r="102" spans="1:16" ht="19.5" customHeight="1">
      <c r="A102" s="376" t="s">
        <v>64</v>
      </c>
      <c r="B102" s="377"/>
      <c r="C102" s="54" t="s">
        <v>16</v>
      </c>
      <c r="D102" s="106">
        <v>3.05995</v>
      </c>
      <c r="E102" s="99">
        <v>2.8334</v>
      </c>
      <c r="F102" s="99">
        <v>2.8173</v>
      </c>
      <c r="G102" s="99">
        <v>3.0919</v>
      </c>
      <c r="H102" s="162">
        <v>3.02095</v>
      </c>
      <c r="I102" s="116">
        <v>3.6251</v>
      </c>
      <c r="J102" s="99">
        <v>2.9869</v>
      </c>
      <c r="K102" s="99">
        <v>3.0194</v>
      </c>
      <c r="L102" s="99">
        <v>3.1381</v>
      </c>
      <c r="M102" s="106">
        <v>3.5776</v>
      </c>
      <c r="N102" s="102">
        <v>3.8097</v>
      </c>
      <c r="O102" s="99">
        <v>5.18534</v>
      </c>
      <c r="P102" s="8">
        <f t="shared" si="18"/>
        <v>40.165639999999996</v>
      </c>
    </row>
    <row r="103" spans="1:16" ht="19.5" customHeight="1">
      <c r="A103" s="378"/>
      <c r="B103" s="379"/>
      <c r="C103" s="48" t="s">
        <v>18</v>
      </c>
      <c r="D103" s="107">
        <v>7047.073433424471</v>
      </c>
      <c r="E103" s="100">
        <v>6108.23787093178</v>
      </c>
      <c r="F103" s="100">
        <v>7263.377228185953</v>
      </c>
      <c r="G103" s="100">
        <v>7499.371914174334</v>
      </c>
      <c r="H103" s="163">
        <v>6363.460510903611</v>
      </c>
      <c r="I103" s="147">
        <v>6131.08128757935</v>
      </c>
      <c r="J103" s="216">
        <v>6673.783289031554</v>
      </c>
      <c r="K103" s="100">
        <v>9653.064666729766</v>
      </c>
      <c r="L103" s="100">
        <v>6011.579062394518</v>
      </c>
      <c r="M103" s="107">
        <v>8144.676314322289</v>
      </c>
      <c r="N103" s="222">
        <v>8971.87653782555</v>
      </c>
      <c r="O103" s="216">
        <v>16633.224565665325</v>
      </c>
      <c r="P103" s="9">
        <f t="shared" si="18"/>
        <v>96500.80668116851</v>
      </c>
    </row>
    <row r="104" spans="1:16" s="38" customFormat="1" ht="19.5" customHeight="1">
      <c r="A104" s="384" t="s">
        <v>65</v>
      </c>
      <c r="B104" s="385"/>
      <c r="C104" s="54" t="s">
        <v>16</v>
      </c>
      <c r="D104" s="223">
        <f>D9+D11+D23+D29+D37+D39+D41+D43+D45+D47+D49+D51+D53+D59+D76+D88+D90+D92+D94+D96+D98+D100+D102</f>
        <v>175.47595</v>
      </c>
      <c r="E104" s="223">
        <f aca="true" t="shared" si="22" ref="E104:L104">E9+E11+E23+E29+E37+E39+E41+E43+E45+E47+E49+E51+E53+E59+E76+E88+E90+E92+E94+E96+E98+E100+E102</f>
        <v>69.2744</v>
      </c>
      <c r="F104" s="224">
        <f t="shared" si="22"/>
        <v>105.19769999999998</v>
      </c>
      <c r="G104" s="224">
        <f t="shared" si="22"/>
        <v>180.52630000000002</v>
      </c>
      <c r="H104" s="28">
        <f t="shared" si="22"/>
        <v>250.73095000000006</v>
      </c>
      <c r="I104" s="137">
        <f t="shared" si="22"/>
        <v>323.22369999999995</v>
      </c>
      <c r="J104" s="1">
        <f t="shared" si="22"/>
        <v>763.0345</v>
      </c>
      <c r="K104" s="1">
        <f t="shared" si="22"/>
        <v>362.1835</v>
      </c>
      <c r="L104" s="5">
        <f t="shared" si="22"/>
        <v>486.79909999999995</v>
      </c>
      <c r="M104" s="5">
        <f aca="true" t="shared" si="23" ref="M104:O105">+M9+M11+M23+M29+M37+M39+M41+M43+M45+M47+M49+M51+M53+M59+M76+M88+M90+M92+M94+M96+M98+M100+M102</f>
        <v>927.5532</v>
      </c>
      <c r="N104" s="5">
        <f t="shared" si="23"/>
        <v>674.6952</v>
      </c>
      <c r="O104" s="5">
        <f t="shared" si="23"/>
        <v>445.1787399999999</v>
      </c>
      <c r="P104" s="8">
        <f>SUM(D104:O104)</f>
        <v>4763.87324</v>
      </c>
    </row>
    <row r="105" spans="1:16" s="38" customFormat="1" ht="19.5" customHeight="1">
      <c r="A105" s="386"/>
      <c r="B105" s="387"/>
      <c r="C105" s="48" t="s">
        <v>18</v>
      </c>
      <c r="D105" s="225">
        <f>D10+D12+D24+D30+D38+D40+D42+D44+D46+D48+D50+D52+D54+D60+D77+D89+D91+D93+D95+D97+D99+D101+D103</f>
        <v>122596.91034660497</v>
      </c>
      <c r="E105" s="225">
        <f aca="true" t="shared" si="24" ref="E105:L105">E10+E12+E24+E30+E38+E40+E42+E44+E46+E48+E50+E52+E54+E60+E77+E89+E91+E93+E95+E97+E99+E101+E103</f>
        <v>65410.28309548787</v>
      </c>
      <c r="F105" s="226">
        <f t="shared" si="24"/>
        <v>106562.86878546806</v>
      </c>
      <c r="G105" s="226">
        <f t="shared" si="24"/>
        <v>143449.37975318325</v>
      </c>
      <c r="H105" s="86">
        <f t="shared" si="24"/>
        <v>135815.3820732963</v>
      </c>
      <c r="I105" s="53">
        <f t="shared" si="24"/>
        <v>183699.62626253604</v>
      </c>
      <c r="J105" s="2">
        <f t="shared" si="24"/>
        <v>300802.9799241799</v>
      </c>
      <c r="K105" s="2">
        <f t="shared" si="24"/>
        <v>247277.48028142756</v>
      </c>
      <c r="L105" s="34">
        <f t="shared" si="24"/>
        <v>538252.6182207976</v>
      </c>
      <c r="M105" s="34">
        <f t="shared" si="23"/>
        <v>717930.6882536361</v>
      </c>
      <c r="N105" s="34">
        <f t="shared" si="23"/>
        <v>397422.86149333103</v>
      </c>
      <c r="O105" s="34">
        <f t="shared" si="23"/>
        <v>295125.0837816234</v>
      </c>
      <c r="P105" s="9">
        <f>SUM(D105:O105)</f>
        <v>3254346.162271572</v>
      </c>
    </row>
    <row r="106" spans="1:16" ht="19.5" customHeight="1">
      <c r="A106" s="44" t="s">
        <v>0</v>
      </c>
      <c r="B106" s="382" t="s">
        <v>134</v>
      </c>
      <c r="C106" s="54" t="s">
        <v>16</v>
      </c>
      <c r="D106" s="106"/>
      <c r="E106" s="99"/>
      <c r="F106" s="99"/>
      <c r="G106" s="99"/>
      <c r="H106" s="159"/>
      <c r="I106" s="123"/>
      <c r="J106" s="99"/>
      <c r="K106" s="99"/>
      <c r="L106" s="99"/>
      <c r="M106" s="106"/>
      <c r="N106" s="102"/>
      <c r="O106" s="99"/>
      <c r="P106" s="8"/>
    </row>
    <row r="107" spans="1:16" ht="19.5" customHeight="1">
      <c r="A107" s="44" t="s">
        <v>0</v>
      </c>
      <c r="B107" s="383"/>
      <c r="C107" s="48" t="s">
        <v>18</v>
      </c>
      <c r="D107" s="107"/>
      <c r="E107" s="100"/>
      <c r="F107" s="100"/>
      <c r="G107" s="100"/>
      <c r="H107" s="158"/>
      <c r="I107" s="124"/>
      <c r="J107" s="100"/>
      <c r="K107" s="100"/>
      <c r="L107" s="100"/>
      <c r="M107" s="107"/>
      <c r="N107" s="103"/>
      <c r="O107" s="100"/>
      <c r="P107" s="9"/>
    </row>
    <row r="108" spans="1:16" ht="19.5" customHeight="1">
      <c r="A108" s="44" t="s">
        <v>66</v>
      </c>
      <c r="B108" s="382" t="s">
        <v>141</v>
      </c>
      <c r="C108" s="54" t="s">
        <v>16</v>
      </c>
      <c r="D108" s="106">
        <v>0.9326</v>
      </c>
      <c r="E108" s="99">
        <v>0.6625</v>
      </c>
      <c r="F108" s="99">
        <v>0.4606</v>
      </c>
      <c r="G108" s="99">
        <v>0.868</v>
      </c>
      <c r="H108" s="162">
        <v>1.4778</v>
      </c>
      <c r="I108" s="123">
        <v>3.0326</v>
      </c>
      <c r="J108" s="99">
        <v>0.945</v>
      </c>
      <c r="K108" s="99">
        <v>0.1828</v>
      </c>
      <c r="L108" s="99">
        <v>1.3341</v>
      </c>
      <c r="M108" s="106">
        <v>2.161</v>
      </c>
      <c r="N108" s="102">
        <v>1.3357</v>
      </c>
      <c r="O108" s="99">
        <v>2.9961</v>
      </c>
      <c r="P108" s="8">
        <f aca="true" t="shared" si="25" ref="P108:P115">SUM(D108:O108)</f>
        <v>16.388799999999996</v>
      </c>
    </row>
    <row r="109" spans="1:16" ht="19.5" customHeight="1">
      <c r="A109" s="44" t="s">
        <v>0</v>
      </c>
      <c r="B109" s="383"/>
      <c r="C109" s="48" t="s">
        <v>18</v>
      </c>
      <c r="D109" s="107">
        <v>589.1225823714194</v>
      </c>
      <c r="E109" s="100">
        <v>525.7562169849283</v>
      </c>
      <c r="F109" s="100">
        <v>478.57957762996716</v>
      </c>
      <c r="G109" s="100">
        <v>843.9605858398938</v>
      </c>
      <c r="H109" s="163">
        <v>1096.2432122146752</v>
      </c>
      <c r="I109" s="104">
        <v>1597.7185532463207</v>
      </c>
      <c r="J109" s="216">
        <v>323.09819850072313</v>
      </c>
      <c r="K109" s="100">
        <v>149.52059731614054</v>
      </c>
      <c r="L109" s="100">
        <v>657.8377093191846</v>
      </c>
      <c r="M109" s="107">
        <v>1115.119433746086</v>
      </c>
      <c r="N109" s="222">
        <v>846.0450092249173</v>
      </c>
      <c r="O109" s="216">
        <v>2028.1989411809539</v>
      </c>
      <c r="P109" s="9">
        <f t="shared" si="25"/>
        <v>10251.20061757521</v>
      </c>
    </row>
    <row r="110" spans="1:16" ht="19.5" customHeight="1">
      <c r="A110" s="44" t="s">
        <v>0</v>
      </c>
      <c r="B110" s="382" t="s">
        <v>124</v>
      </c>
      <c r="C110" s="54" t="s">
        <v>16</v>
      </c>
      <c r="D110" s="106">
        <v>0.6124</v>
      </c>
      <c r="E110" s="99">
        <v>0.8259</v>
      </c>
      <c r="F110" s="99">
        <v>0.5136</v>
      </c>
      <c r="G110" s="99">
        <v>0.2378</v>
      </c>
      <c r="H110" s="162">
        <v>0.0183</v>
      </c>
      <c r="I110" s="116">
        <v>0.336</v>
      </c>
      <c r="J110" s="99">
        <v>0.0365</v>
      </c>
      <c r="K110" s="99">
        <v>0.02</v>
      </c>
      <c r="L110" s="99">
        <v>1.6233</v>
      </c>
      <c r="M110" s="106">
        <v>3.5027</v>
      </c>
      <c r="N110" s="102">
        <v>7.7011</v>
      </c>
      <c r="O110" s="99">
        <v>6.2055</v>
      </c>
      <c r="P110" s="8">
        <f t="shared" si="25"/>
        <v>21.6331</v>
      </c>
    </row>
    <row r="111" spans="1:16" ht="19.5" customHeight="1">
      <c r="A111" s="50"/>
      <c r="B111" s="383"/>
      <c r="C111" s="48" t="s">
        <v>18</v>
      </c>
      <c r="D111" s="107">
        <v>305.2203685807243</v>
      </c>
      <c r="E111" s="100">
        <v>358.5887979932373</v>
      </c>
      <c r="F111" s="100">
        <v>220.84863582366057</v>
      </c>
      <c r="G111" s="100">
        <v>150.51959747455803</v>
      </c>
      <c r="H111" s="163">
        <v>13.402800149338074</v>
      </c>
      <c r="I111" s="104">
        <v>100.71540209574869</v>
      </c>
      <c r="J111" s="216">
        <v>42.33599980354769</v>
      </c>
      <c r="K111" s="100">
        <v>34.55999937965616</v>
      </c>
      <c r="L111" s="100">
        <v>481.2177521868297</v>
      </c>
      <c r="M111" s="107">
        <v>1335.9923925073663</v>
      </c>
      <c r="N111" s="222">
        <v>3156.9372344219096</v>
      </c>
      <c r="O111" s="216">
        <v>3817.3949645795437</v>
      </c>
      <c r="P111" s="9">
        <f t="shared" si="25"/>
        <v>10017.73394499612</v>
      </c>
    </row>
    <row r="112" spans="1:16" ht="19.5" customHeight="1">
      <c r="A112" s="44" t="s">
        <v>67</v>
      </c>
      <c r="B112" s="382" t="s">
        <v>125</v>
      </c>
      <c r="C112" s="54" t="s">
        <v>16</v>
      </c>
      <c r="D112" s="106"/>
      <c r="E112" s="99"/>
      <c r="F112" s="99">
        <v>0.009</v>
      </c>
      <c r="G112" s="99">
        <v>0.0113</v>
      </c>
      <c r="H112" s="159">
        <v>0.0059</v>
      </c>
      <c r="I112" s="116"/>
      <c r="J112" s="99"/>
      <c r="K112" s="99"/>
      <c r="L112" s="99"/>
      <c r="M112" s="106">
        <v>0.0097</v>
      </c>
      <c r="N112" s="102">
        <v>0.003</v>
      </c>
      <c r="O112" s="99">
        <v>0.024</v>
      </c>
      <c r="P112" s="8">
        <f t="shared" si="25"/>
        <v>0.06290000000000001</v>
      </c>
    </row>
    <row r="113" spans="1:16" ht="19.5" customHeight="1">
      <c r="A113" s="50"/>
      <c r="B113" s="383"/>
      <c r="C113" s="48" t="s">
        <v>18</v>
      </c>
      <c r="D113" s="107"/>
      <c r="E113" s="100"/>
      <c r="F113" s="100">
        <v>5.670000919725801</v>
      </c>
      <c r="G113" s="100">
        <v>80.87039864314346</v>
      </c>
      <c r="H113" s="167">
        <v>38.23200042599257</v>
      </c>
      <c r="I113" s="124"/>
      <c r="J113" s="216"/>
      <c r="K113" s="100"/>
      <c r="L113" s="100"/>
      <c r="M113" s="107">
        <v>8.488799952392343</v>
      </c>
      <c r="N113" s="228">
        <v>3.8880000423931094</v>
      </c>
      <c r="O113" s="216">
        <v>99.79199907406014</v>
      </c>
      <c r="P113" s="9">
        <f t="shared" si="25"/>
        <v>236.94119905770742</v>
      </c>
    </row>
    <row r="114" spans="1:16" ht="19.5" customHeight="1">
      <c r="A114" s="50"/>
      <c r="B114" s="382" t="s">
        <v>126</v>
      </c>
      <c r="C114" s="54" t="s">
        <v>16</v>
      </c>
      <c r="D114" s="106">
        <v>0.0538</v>
      </c>
      <c r="E114" s="99">
        <v>0.4891</v>
      </c>
      <c r="F114" s="99">
        <v>0.3053</v>
      </c>
      <c r="G114" s="99">
        <v>0.3528</v>
      </c>
      <c r="H114" s="157">
        <v>1.0932</v>
      </c>
      <c r="I114" s="123">
        <v>0.243</v>
      </c>
      <c r="J114" s="99">
        <v>0.3717</v>
      </c>
      <c r="K114" s="99">
        <v>0.6418</v>
      </c>
      <c r="L114" s="99">
        <v>0.4094</v>
      </c>
      <c r="M114" s="106">
        <v>0.7125</v>
      </c>
      <c r="N114" s="102">
        <v>0.6331</v>
      </c>
      <c r="O114" s="99">
        <v>0.8611</v>
      </c>
      <c r="P114" s="8">
        <f t="shared" si="25"/>
        <v>6.1668</v>
      </c>
    </row>
    <row r="115" spans="1:16" ht="19.5" customHeight="1">
      <c r="A115" s="50"/>
      <c r="B115" s="383"/>
      <c r="C115" s="48" t="s">
        <v>18</v>
      </c>
      <c r="D115" s="107">
        <v>113.98802561225321</v>
      </c>
      <c r="E115" s="100">
        <v>647.93426740905</v>
      </c>
      <c r="F115" s="100">
        <v>484.47007858546004</v>
      </c>
      <c r="G115" s="100">
        <v>480.7295919342417</v>
      </c>
      <c r="H115" s="163">
        <v>1013.1966112893446</v>
      </c>
      <c r="I115" s="104">
        <v>140.04900291422672</v>
      </c>
      <c r="J115" s="216">
        <v>121.26671943728442</v>
      </c>
      <c r="K115" s="100">
        <v>267.13691520495536</v>
      </c>
      <c r="L115" s="100">
        <v>209.26943660224975</v>
      </c>
      <c r="M115" s="107">
        <v>299.35655832112144</v>
      </c>
      <c r="N115" s="222">
        <v>408.4506044535728</v>
      </c>
      <c r="O115" s="216">
        <v>1354.4117874328217</v>
      </c>
      <c r="P115" s="9">
        <f t="shared" si="25"/>
        <v>5540.259599196581</v>
      </c>
    </row>
    <row r="116" spans="1:16" ht="19.5" customHeight="1">
      <c r="A116" s="44" t="s">
        <v>68</v>
      </c>
      <c r="B116" s="382" t="s">
        <v>127</v>
      </c>
      <c r="C116" s="54" t="s">
        <v>16</v>
      </c>
      <c r="D116" s="106"/>
      <c r="E116" s="99"/>
      <c r="F116" s="99"/>
      <c r="G116" s="99"/>
      <c r="H116" s="159"/>
      <c r="I116" s="116"/>
      <c r="J116" s="99"/>
      <c r="K116" s="99"/>
      <c r="L116" s="99"/>
      <c r="M116" s="106"/>
      <c r="N116" s="102"/>
      <c r="O116" s="99"/>
      <c r="P116" s="8"/>
    </row>
    <row r="117" spans="1:16" ht="19.5" customHeight="1">
      <c r="A117" s="50"/>
      <c r="B117" s="383"/>
      <c r="C117" s="48" t="s">
        <v>18</v>
      </c>
      <c r="D117" s="107"/>
      <c r="E117" s="100"/>
      <c r="F117" s="100"/>
      <c r="G117" s="100"/>
      <c r="H117" s="168"/>
      <c r="I117" s="124"/>
      <c r="J117" s="100"/>
      <c r="K117" s="100"/>
      <c r="L117" s="100"/>
      <c r="M117" s="107"/>
      <c r="N117" s="103"/>
      <c r="O117" s="100"/>
      <c r="P117" s="9"/>
    </row>
    <row r="118" spans="1:16" ht="19.5" customHeight="1">
      <c r="A118" s="50"/>
      <c r="B118" s="382" t="s">
        <v>128</v>
      </c>
      <c r="C118" s="54" t="s">
        <v>16</v>
      </c>
      <c r="D118" s="106">
        <v>0.0456</v>
      </c>
      <c r="E118" s="99"/>
      <c r="F118" s="99">
        <v>0.0392</v>
      </c>
      <c r="G118" s="99">
        <v>0.0112</v>
      </c>
      <c r="H118" s="159">
        <v>0.005</v>
      </c>
      <c r="I118" s="123">
        <v>0.003</v>
      </c>
      <c r="J118" s="99">
        <v>0.001</v>
      </c>
      <c r="K118" s="99">
        <v>0.019</v>
      </c>
      <c r="L118" s="99">
        <v>0.002</v>
      </c>
      <c r="M118" s="106">
        <v>0.0044</v>
      </c>
      <c r="N118" s="102">
        <v>0.0085</v>
      </c>
      <c r="O118" s="99">
        <v>0.0573</v>
      </c>
      <c r="P118" s="8">
        <f aca="true" t="shared" si="26" ref="P118:P134">SUM(D118:O118)</f>
        <v>0.19619999999999999</v>
      </c>
    </row>
    <row r="119" spans="1:16" ht="19.5" customHeight="1">
      <c r="A119" s="50"/>
      <c r="B119" s="383"/>
      <c r="C119" s="48" t="s">
        <v>18</v>
      </c>
      <c r="D119" s="107">
        <v>45.81151029350228</v>
      </c>
      <c r="E119" s="100"/>
      <c r="F119" s="100">
        <v>24.528003978665687</v>
      </c>
      <c r="G119" s="100">
        <v>6.95519988330454</v>
      </c>
      <c r="H119" s="158">
        <v>2.1600000240673767</v>
      </c>
      <c r="I119" s="104">
        <v>2.5920000539359482</v>
      </c>
      <c r="J119" s="216">
        <v>1.0799999949884616</v>
      </c>
      <c r="K119" s="100">
        <v>9.77399982455901</v>
      </c>
      <c r="L119" s="100">
        <v>0.5399999912324268</v>
      </c>
      <c r="M119" s="107">
        <v>1.6415999907934302</v>
      </c>
      <c r="N119" s="222">
        <v>11.556000126001742</v>
      </c>
      <c r="O119" s="216">
        <v>107.56799900190897</v>
      </c>
      <c r="P119" s="9">
        <f t="shared" si="26"/>
        <v>214.20631316295987</v>
      </c>
    </row>
    <row r="120" spans="1:16" ht="19.5" customHeight="1">
      <c r="A120" s="44" t="s">
        <v>70</v>
      </c>
      <c r="B120" s="382" t="s">
        <v>142</v>
      </c>
      <c r="C120" s="54" t="s">
        <v>16</v>
      </c>
      <c r="D120" s="106">
        <v>0.0126</v>
      </c>
      <c r="E120" s="99">
        <v>0.4826</v>
      </c>
      <c r="F120" s="99">
        <v>0.506</v>
      </c>
      <c r="G120" s="99">
        <v>0.453</v>
      </c>
      <c r="H120" s="162">
        <v>1.457</v>
      </c>
      <c r="I120" s="116">
        <v>1.4004</v>
      </c>
      <c r="J120" s="99">
        <v>1.282</v>
      </c>
      <c r="K120" s="99">
        <v>1.64</v>
      </c>
      <c r="L120" s="99">
        <v>0.015</v>
      </c>
      <c r="M120" s="106">
        <v>0.024</v>
      </c>
      <c r="N120" s="102">
        <v>0.021</v>
      </c>
      <c r="O120" s="99"/>
      <c r="P120" s="8">
        <f t="shared" si="26"/>
        <v>7.2936</v>
      </c>
    </row>
    <row r="121" spans="1:16" ht="19.5" customHeight="1">
      <c r="A121" s="50"/>
      <c r="B121" s="383"/>
      <c r="C121" s="48" t="s">
        <v>18</v>
      </c>
      <c r="D121" s="107">
        <v>3.9690008918046895</v>
      </c>
      <c r="E121" s="100">
        <v>202.69208365308066</v>
      </c>
      <c r="F121" s="100">
        <v>215.19753490700052</v>
      </c>
      <c r="G121" s="100">
        <v>192.45599677094236</v>
      </c>
      <c r="H121" s="163">
        <v>531.4680059217781</v>
      </c>
      <c r="I121" s="104">
        <v>517.860010775953</v>
      </c>
      <c r="J121" s="216">
        <v>758.8079964788931</v>
      </c>
      <c r="K121" s="100">
        <v>970.7039825760925</v>
      </c>
      <c r="L121" s="100">
        <v>4.049999934243201</v>
      </c>
      <c r="M121" s="107">
        <v>9.331199947667919</v>
      </c>
      <c r="N121" s="222">
        <v>7.938000086552598</v>
      </c>
      <c r="O121" s="216"/>
      <c r="P121" s="9">
        <f t="shared" si="26"/>
        <v>3414.4738119440085</v>
      </c>
    </row>
    <row r="122" spans="1:16" ht="19.5" customHeight="1">
      <c r="A122" s="50"/>
      <c r="B122" s="382" t="s">
        <v>72</v>
      </c>
      <c r="C122" s="54" t="s">
        <v>16</v>
      </c>
      <c r="D122" s="106">
        <v>5.184</v>
      </c>
      <c r="E122" s="99">
        <v>4.7946</v>
      </c>
      <c r="F122" s="99">
        <v>8.2056</v>
      </c>
      <c r="G122" s="99">
        <v>5.9859</v>
      </c>
      <c r="H122" s="162">
        <v>6.1449</v>
      </c>
      <c r="I122" s="116">
        <v>5.0677</v>
      </c>
      <c r="J122" s="99">
        <v>5.2804</v>
      </c>
      <c r="K122" s="99">
        <v>6.8402</v>
      </c>
      <c r="L122" s="99">
        <v>5.4484</v>
      </c>
      <c r="M122" s="106">
        <v>5.0668</v>
      </c>
      <c r="N122" s="102">
        <v>5.1632</v>
      </c>
      <c r="O122" s="99">
        <v>9.417</v>
      </c>
      <c r="P122" s="8">
        <f t="shared" si="26"/>
        <v>72.59870000000001</v>
      </c>
    </row>
    <row r="123" spans="1:16" ht="19.5" customHeight="1">
      <c r="A123" s="50"/>
      <c r="B123" s="383"/>
      <c r="C123" s="48" t="s">
        <v>18</v>
      </c>
      <c r="D123" s="107">
        <v>2730.9876136324046</v>
      </c>
      <c r="E123" s="100">
        <v>2497.930030921083</v>
      </c>
      <c r="F123" s="100">
        <v>3859.1706259926314</v>
      </c>
      <c r="G123" s="100">
        <v>3326.9939441791616</v>
      </c>
      <c r="H123" s="163">
        <v>3783.5586421575604</v>
      </c>
      <c r="I123" s="104">
        <v>3607.0002750567037</v>
      </c>
      <c r="J123" s="216">
        <v>3728.9375826965606</v>
      </c>
      <c r="K123" s="100">
        <v>5072.360308952329</v>
      </c>
      <c r="L123" s="100">
        <v>3420.0359444714513</v>
      </c>
      <c r="M123" s="107">
        <v>3397.6205809451567</v>
      </c>
      <c r="N123" s="222">
        <v>3592.992639176473</v>
      </c>
      <c r="O123" s="216">
        <v>5514.4745488328535</v>
      </c>
      <c r="P123" s="9">
        <f t="shared" si="26"/>
        <v>44532.06273701437</v>
      </c>
    </row>
    <row r="124" spans="1:16" ht="19.5" customHeight="1">
      <c r="A124" s="44" t="s">
        <v>23</v>
      </c>
      <c r="B124" s="382" t="s">
        <v>130</v>
      </c>
      <c r="C124" s="54" t="s">
        <v>16</v>
      </c>
      <c r="D124" s="106">
        <v>2.7503</v>
      </c>
      <c r="E124" s="99">
        <v>1.8747</v>
      </c>
      <c r="F124" s="99">
        <v>1.6468</v>
      </c>
      <c r="G124" s="99">
        <v>1.7478</v>
      </c>
      <c r="H124" s="162">
        <v>2.0822</v>
      </c>
      <c r="I124" s="116">
        <v>2.5687</v>
      </c>
      <c r="J124" s="99">
        <v>2.4347</v>
      </c>
      <c r="K124" s="99">
        <v>1.6448</v>
      </c>
      <c r="L124" s="99">
        <v>1.5291</v>
      </c>
      <c r="M124" s="106">
        <v>1.1351</v>
      </c>
      <c r="N124" s="102">
        <v>0.453</v>
      </c>
      <c r="O124" s="99">
        <v>1.1075</v>
      </c>
      <c r="P124" s="8">
        <f t="shared" si="26"/>
        <v>20.9747</v>
      </c>
    </row>
    <row r="125" spans="1:16" ht="19.5" customHeight="1">
      <c r="A125" s="50"/>
      <c r="B125" s="383"/>
      <c r="C125" s="48" t="s">
        <v>18</v>
      </c>
      <c r="D125" s="242">
        <v>2364.684531326853</v>
      </c>
      <c r="E125" s="33">
        <v>2208.9384116513074</v>
      </c>
      <c r="F125" s="33">
        <v>2589.1744199876775</v>
      </c>
      <c r="G125" s="100">
        <v>2626.862355926082</v>
      </c>
      <c r="H125" s="161">
        <v>2533.496428228987</v>
      </c>
      <c r="I125" s="104">
        <v>2691.3276560028185</v>
      </c>
      <c r="J125" s="216">
        <v>3078.5021857147854</v>
      </c>
      <c r="K125" s="100">
        <v>3587.1389356117024</v>
      </c>
      <c r="L125" s="100">
        <v>3866.648337220143</v>
      </c>
      <c r="M125" s="107">
        <v>3396.1571809533634</v>
      </c>
      <c r="N125" s="222">
        <v>1755.1350191372505</v>
      </c>
      <c r="O125" s="216">
        <v>2341.439978274485</v>
      </c>
      <c r="P125" s="9">
        <f t="shared" si="26"/>
        <v>33039.50544003546</v>
      </c>
    </row>
    <row r="126" spans="1:16" ht="19.5" customHeight="1">
      <c r="A126" s="50"/>
      <c r="B126" s="47" t="s">
        <v>20</v>
      </c>
      <c r="C126" s="54" t="s">
        <v>16</v>
      </c>
      <c r="D126" s="106"/>
      <c r="E126" s="99">
        <v>0.0045</v>
      </c>
      <c r="F126" s="99">
        <v>0.8838</v>
      </c>
      <c r="G126" s="99">
        <v>3.183</v>
      </c>
      <c r="H126" s="162">
        <v>5.3812</v>
      </c>
      <c r="I126" s="132">
        <v>4.8514</v>
      </c>
      <c r="J126" s="114">
        <v>4.2134</v>
      </c>
      <c r="K126" s="99">
        <v>3.1615</v>
      </c>
      <c r="L126" s="99">
        <v>0.071</v>
      </c>
      <c r="M126" s="106"/>
      <c r="N126" s="102"/>
      <c r="O126" s="99"/>
      <c r="P126" s="8">
        <f t="shared" si="26"/>
        <v>21.7498</v>
      </c>
    </row>
    <row r="127" spans="1:16" ht="19.5" customHeight="1">
      <c r="A127" s="50"/>
      <c r="B127" s="48" t="s">
        <v>73</v>
      </c>
      <c r="C127" s="48" t="s">
        <v>18</v>
      </c>
      <c r="D127" s="107"/>
      <c r="E127" s="100">
        <v>28.35001170033764</v>
      </c>
      <c r="F127" s="100">
        <v>355.55630767447207</v>
      </c>
      <c r="G127" s="100">
        <v>1373.4305769563612</v>
      </c>
      <c r="H127" s="163">
        <v>2359.6542262919843</v>
      </c>
      <c r="I127" s="145">
        <v>1793.4048373182825</v>
      </c>
      <c r="J127" s="227">
        <v>1466.8613931933035</v>
      </c>
      <c r="K127" s="100">
        <v>1130.543979707002</v>
      </c>
      <c r="L127" s="100">
        <v>32.205599477101934</v>
      </c>
      <c r="M127" s="107"/>
      <c r="N127" s="228"/>
      <c r="O127" s="216"/>
      <c r="P127" s="9">
        <f t="shared" si="26"/>
        <v>8540.006932318845</v>
      </c>
    </row>
    <row r="128" spans="1:16" s="38" customFormat="1" ht="19.5" customHeight="1">
      <c r="A128" s="50"/>
      <c r="B128" s="380" t="s">
        <v>107</v>
      </c>
      <c r="C128" s="54" t="s">
        <v>16</v>
      </c>
      <c r="D128" s="223">
        <f>D106+D108+D110+D112+D114+D116+D118+D120+D122+D124+D126</f>
        <v>9.5913</v>
      </c>
      <c r="E128" s="223">
        <f aca="true" t="shared" si="27" ref="E128:L128">E106+E108+E110+E112+E114+E116+E118+E120+E122+E124+E126</f>
        <v>9.1339</v>
      </c>
      <c r="F128" s="224">
        <f t="shared" si="27"/>
        <v>12.569900000000002</v>
      </c>
      <c r="G128" s="224">
        <f t="shared" si="27"/>
        <v>12.8508</v>
      </c>
      <c r="H128" s="28">
        <f t="shared" si="27"/>
        <v>17.6655</v>
      </c>
      <c r="I128" s="137">
        <f t="shared" si="27"/>
        <v>17.5028</v>
      </c>
      <c r="J128" s="1">
        <f t="shared" si="27"/>
        <v>14.5647</v>
      </c>
      <c r="K128" s="1">
        <f t="shared" si="27"/>
        <v>14.1501</v>
      </c>
      <c r="L128" s="83">
        <f t="shared" si="27"/>
        <v>10.4323</v>
      </c>
      <c r="M128" s="83">
        <f aca="true" t="shared" si="28" ref="M128:O129">+M106+M108+M110+M112+M114+M116+M118+M120+M122+M124+M126</f>
        <v>12.616200000000001</v>
      </c>
      <c r="N128" s="83">
        <f t="shared" si="28"/>
        <v>15.3186</v>
      </c>
      <c r="O128" s="5">
        <f t="shared" si="28"/>
        <v>20.6685</v>
      </c>
      <c r="P128" s="8">
        <f>SUM(D128:O128)</f>
        <v>167.06459999999998</v>
      </c>
    </row>
    <row r="129" spans="1:16" s="38" customFormat="1" ht="19.5" customHeight="1">
      <c r="A129" s="49"/>
      <c r="B129" s="381"/>
      <c r="C129" s="48" t="s">
        <v>18</v>
      </c>
      <c r="D129" s="225">
        <f>D107+D109+D111+D113+D115+D117+D119+D121+D123+D125+D127</f>
        <v>6153.783632708962</v>
      </c>
      <c r="E129" s="225">
        <f aca="true" t="shared" si="29" ref="E129:L129">E107+E109+E111+E113+E115+E117+E119+E121+E123+E125+E127</f>
        <v>6470.189820313024</v>
      </c>
      <c r="F129" s="226">
        <f t="shared" si="29"/>
        <v>8233.195185499262</v>
      </c>
      <c r="G129" s="226">
        <f t="shared" si="29"/>
        <v>9082.778247607688</v>
      </c>
      <c r="H129" s="86">
        <f t="shared" si="29"/>
        <v>11371.411926703728</v>
      </c>
      <c r="I129" s="53">
        <f t="shared" si="29"/>
        <v>10450.667737463991</v>
      </c>
      <c r="J129" s="2">
        <f t="shared" si="29"/>
        <v>9520.890075820085</v>
      </c>
      <c r="K129" s="2">
        <f t="shared" si="29"/>
        <v>11221.738718572436</v>
      </c>
      <c r="L129" s="34">
        <f t="shared" si="29"/>
        <v>8671.804779202435</v>
      </c>
      <c r="M129" s="34">
        <f t="shared" si="28"/>
        <v>9563.707746363947</v>
      </c>
      <c r="N129" s="34">
        <f t="shared" si="28"/>
        <v>9782.942506669071</v>
      </c>
      <c r="O129" s="34">
        <f t="shared" si="28"/>
        <v>15263.280218376625</v>
      </c>
      <c r="P129" s="9">
        <f>SUM(D129:O129)</f>
        <v>115786.39059530126</v>
      </c>
    </row>
    <row r="130" spans="1:16" ht="19.5" customHeight="1">
      <c r="A130" s="151" t="s">
        <v>0</v>
      </c>
      <c r="B130" s="382" t="s">
        <v>74</v>
      </c>
      <c r="C130" s="54" t="s">
        <v>16</v>
      </c>
      <c r="D130" s="106"/>
      <c r="E130" s="99"/>
      <c r="F130" s="99"/>
      <c r="G130" s="99"/>
      <c r="H130" s="159"/>
      <c r="I130" s="123"/>
      <c r="J130" s="99"/>
      <c r="K130" s="99"/>
      <c r="L130" s="99"/>
      <c r="M130" s="106"/>
      <c r="N130" s="102"/>
      <c r="O130" s="99"/>
      <c r="P130" s="8"/>
    </row>
    <row r="131" spans="1:16" ht="19.5" customHeight="1">
      <c r="A131" s="152" t="s">
        <v>0</v>
      </c>
      <c r="B131" s="383"/>
      <c r="C131" s="48" t="s">
        <v>18</v>
      </c>
      <c r="D131" s="107"/>
      <c r="E131" s="100"/>
      <c r="F131" s="100"/>
      <c r="G131" s="100"/>
      <c r="H131" s="158"/>
      <c r="I131" s="124"/>
      <c r="J131" s="100"/>
      <c r="K131" s="100"/>
      <c r="L131" s="100"/>
      <c r="M131" s="107"/>
      <c r="N131" s="103"/>
      <c r="O131" s="100"/>
      <c r="P131" s="9"/>
    </row>
    <row r="132" spans="1:16" ht="19.5" customHeight="1">
      <c r="A132" s="152" t="s">
        <v>75</v>
      </c>
      <c r="B132" s="382" t="s">
        <v>76</v>
      </c>
      <c r="C132" s="54" t="s">
        <v>16</v>
      </c>
      <c r="D132" s="106">
        <v>0.0666</v>
      </c>
      <c r="E132" s="99">
        <v>0.1</v>
      </c>
      <c r="F132" s="99"/>
      <c r="G132" s="99">
        <v>0.045</v>
      </c>
      <c r="H132" s="159"/>
      <c r="I132" s="123"/>
      <c r="J132" s="99"/>
      <c r="K132" s="99"/>
      <c r="L132" s="99"/>
      <c r="M132" s="106"/>
      <c r="N132" s="102"/>
      <c r="O132" s="99"/>
      <c r="P132" s="8">
        <f t="shared" si="26"/>
        <v>0.2116</v>
      </c>
    </row>
    <row r="133" spans="1:16" ht="19.5" customHeight="1">
      <c r="A133" s="27"/>
      <c r="B133" s="383"/>
      <c r="C133" s="48" t="s">
        <v>18</v>
      </c>
      <c r="D133" s="107">
        <v>11.739002637665722</v>
      </c>
      <c r="E133" s="100">
        <v>9.24000381344338</v>
      </c>
      <c r="F133" s="100"/>
      <c r="G133" s="100">
        <v>41.3099993068942</v>
      </c>
      <c r="H133" s="158"/>
      <c r="I133" s="144"/>
      <c r="J133" s="100"/>
      <c r="K133" s="100"/>
      <c r="L133" s="100"/>
      <c r="M133" s="107"/>
      <c r="N133" s="103"/>
      <c r="O133" s="100"/>
      <c r="P133" s="9">
        <f t="shared" si="26"/>
        <v>62.2890057580033</v>
      </c>
    </row>
    <row r="134" spans="1:16" ht="19.5" customHeight="1">
      <c r="A134" s="152" t="s">
        <v>77</v>
      </c>
      <c r="B134" s="148" t="s">
        <v>20</v>
      </c>
      <c r="C134" s="188" t="s">
        <v>16</v>
      </c>
      <c r="D134" s="189">
        <v>0.129</v>
      </c>
      <c r="E134" s="190">
        <v>0.4498</v>
      </c>
      <c r="F134" s="190">
        <v>0.4793</v>
      </c>
      <c r="G134" s="190">
        <v>0.018</v>
      </c>
      <c r="H134" s="191"/>
      <c r="I134" s="192"/>
      <c r="J134" s="196"/>
      <c r="K134" s="190"/>
      <c r="L134" s="190"/>
      <c r="M134" s="189"/>
      <c r="N134" s="193"/>
      <c r="O134" s="190"/>
      <c r="P134" s="194">
        <f t="shared" si="26"/>
        <v>1.0761</v>
      </c>
    </row>
    <row r="135" spans="1:16" ht="19.5" customHeight="1">
      <c r="A135" s="27"/>
      <c r="B135" s="149" t="s">
        <v>78</v>
      </c>
      <c r="C135" s="54" t="s">
        <v>79</v>
      </c>
      <c r="D135" s="106"/>
      <c r="E135" s="99"/>
      <c r="F135" s="99"/>
      <c r="G135" s="99"/>
      <c r="H135" s="159"/>
      <c r="I135" s="134"/>
      <c r="J135" s="114"/>
      <c r="K135" s="99"/>
      <c r="L135" s="99"/>
      <c r="M135" s="106"/>
      <c r="N135" s="102"/>
      <c r="O135" s="99"/>
      <c r="P135" s="8"/>
    </row>
    <row r="136" spans="1:16" ht="19.5" customHeight="1">
      <c r="A136" s="152" t="s">
        <v>23</v>
      </c>
      <c r="B136" s="25"/>
      <c r="C136" s="48" t="s">
        <v>18</v>
      </c>
      <c r="D136" s="107">
        <v>80.32501804842825</v>
      </c>
      <c r="E136" s="100">
        <v>194.77508038565304</v>
      </c>
      <c r="F136" s="100">
        <v>178.9830290326778</v>
      </c>
      <c r="G136" s="100">
        <v>5.83199990214977</v>
      </c>
      <c r="H136" s="169"/>
      <c r="I136" s="145"/>
      <c r="J136" s="227"/>
      <c r="K136" s="100"/>
      <c r="L136" s="100"/>
      <c r="M136" s="107"/>
      <c r="N136" s="222"/>
      <c r="O136" s="216"/>
      <c r="P136" s="9">
        <f aca="true" t="shared" si="30" ref="P136:P142">SUM(D136:O136)</f>
        <v>459.9151273689089</v>
      </c>
    </row>
    <row r="137" spans="1:16" s="38" customFormat="1" ht="19.5" customHeight="1">
      <c r="A137" s="27"/>
      <c r="B137" s="55" t="s">
        <v>0</v>
      </c>
      <c r="C137" s="181" t="s">
        <v>16</v>
      </c>
      <c r="D137" s="4">
        <f>+D130+D132+D134</f>
        <v>0.1956</v>
      </c>
      <c r="E137" s="3">
        <f>+E130+E132+E134</f>
        <v>0.5498</v>
      </c>
      <c r="F137" s="3">
        <f>+F130+F132+F134</f>
        <v>0.4793</v>
      </c>
      <c r="G137" s="3">
        <f>+G130+G132+G134</f>
        <v>0.063</v>
      </c>
      <c r="H137" s="4"/>
      <c r="I137" s="20"/>
      <c r="J137" s="184"/>
      <c r="K137" s="184"/>
      <c r="L137" s="4"/>
      <c r="M137" s="4"/>
      <c r="N137" s="4"/>
      <c r="O137" s="4"/>
      <c r="P137" s="13">
        <f t="shared" si="30"/>
        <v>1.2876999999999998</v>
      </c>
    </row>
    <row r="138" spans="1:16" s="38" customFormat="1" ht="19.5" customHeight="1">
      <c r="A138" s="25"/>
      <c r="B138" s="56" t="s">
        <v>107</v>
      </c>
      <c r="C138" s="54" t="s">
        <v>79</v>
      </c>
      <c r="D138" s="182"/>
      <c r="E138" s="183"/>
      <c r="F138" s="183"/>
      <c r="G138" s="183"/>
      <c r="H138" s="182"/>
      <c r="I138" s="26"/>
      <c r="J138" s="137"/>
      <c r="K138" s="1"/>
      <c r="L138" s="182"/>
      <c r="M138" s="182"/>
      <c r="N138" s="182"/>
      <c r="O138" s="182"/>
      <c r="P138" s="185"/>
    </row>
    <row r="139" spans="1:16" s="38" customFormat="1" ht="19.5" customHeight="1">
      <c r="A139" s="49"/>
      <c r="B139" s="2"/>
      <c r="C139" s="48" t="s">
        <v>18</v>
      </c>
      <c r="D139" s="34">
        <f>+D131+D133+D136</f>
        <v>92.06402068609397</v>
      </c>
      <c r="E139" s="2">
        <f>+E131+E133+E136</f>
        <v>204.0150841990964</v>
      </c>
      <c r="F139" s="2">
        <f>+F131+F133+F136</f>
        <v>178.9830290326778</v>
      </c>
      <c r="G139" s="2">
        <f>+G131+G133+G136</f>
        <v>47.141999209043966</v>
      </c>
      <c r="H139" s="34"/>
      <c r="I139" s="25"/>
      <c r="J139" s="53"/>
      <c r="K139" s="2"/>
      <c r="L139" s="34"/>
      <c r="M139" s="34"/>
      <c r="N139" s="34"/>
      <c r="O139" s="34"/>
      <c r="P139" s="9">
        <f t="shared" si="30"/>
        <v>522.2041331269121</v>
      </c>
    </row>
    <row r="140" spans="1:16" s="70" customFormat="1" ht="19.5" customHeight="1">
      <c r="A140" s="57"/>
      <c r="B140" s="58" t="s">
        <v>0</v>
      </c>
      <c r="C140" s="187" t="s">
        <v>16</v>
      </c>
      <c r="D140" s="243">
        <f>D137+D128+D104</f>
        <v>185.26285000000001</v>
      </c>
      <c r="E140" s="244">
        <f aca="true" t="shared" si="31" ref="E140:O140">E137+E128+E104</f>
        <v>78.9581</v>
      </c>
      <c r="F140" s="245">
        <f t="shared" si="31"/>
        <v>118.24689999999998</v>
      </c>
      <c r="G140" s="246">
        <f t="shared" si="31"/>
        <v>193.44010000000003</v>
      </c>
      <c r="H140" s="170">
        <f>H137+H128+H104</f>
        <v>268.3964500000001</v>
      </c>
      <c r="I140" s="247">
        <f>I137+I128+I104</f>
        <v>340.72649999999993</v>
      </c>
      <c r="J140" s="244">
        <f>J137+J128+J104</f>
        <v>777.5992</v>
      </c>
      <c r="K140" s="244">
        <f t="shared" si="31"/>
        <v>376.3336</v>
      </c>
      <c r="L140" s="244">
        <f t="shared" si="31"/>
        <v>497.23139999999995</v>
      </c>
      <c r="M140" s="248">
        <f t="shared" si="31"/>
        <v>940.1694</v>
      </c>
      <c r="N140" s="244">
        <f t="shared" si="31"/>
        <v>690.0138</v>
      </c>
      <c r="O140" s="249">
        <f t="shared" si="31"/>
        <v>465.8472399999999</v>
      </c>
      <c r="P140" s="14">
        <f t="shared" si="30"/>
        <v>4932.2255399999995</v>
      </c>
    </row>
    <row r="141" spans="1:16" s="70" customFormat="1" ht="19.5" customHeight="1">
      <c r="A141" s="57"/>
      <c r="B141" s="61" t="s">
        <v>220</v>
      </c>
      <c r="C141" s="62" t="s">
        <v>79</v>
      </c>
      <c r="D141" s="250"/>
      <c r="E141" s="224"/>
      <c r="F141" s="251"/>
      <c r="G141" s="252"/>
      <c r="H141" s="253"/>
      <c r="I141" s="254"/>
      <c r="J141" s="224"/>
      <c r="K141" s="224"/>
      <c r="L141" s="224"/>
      <c r="M141" s="223"/>
      <c r="N141" s="255"/>
      <c r="O141" s="223"/>
      <c r="P141" s="186"/>
    </row>
    <row r="142" spans="1:16" s="70" customFormat="1" ht="19.5" customHeight="1" thickBot="1">
      <c r="A142" s="63"/>
      <c r="B142" s="64"/>
      <c r="C142" s="65" t="s">
        <v>18</v>
      </c>
      <c r="D142" s="256">
        <f>D139+D129+D105</f>
        <v>128842.75800000003</v>
      </c>
      <c r="E142" s="257">
        <f aca="true" t="shared" si="32" ref="E142:O142">E139+E129+E105</f>
        <v>72084.48799999998</v>
      </c>
      <c r="F142" s="258">
        <f t="shared" si="32"/>
        <v>114975.047</v>
      </c>
      <c r="G142" s="259">
        <f t="shared" si="32"/>
        <v>152579.3</v>
      </c>
      <c r="H142" s="260">
        <f t="shared" si="32"/>
        <v>147186.79400000002</v>
      </c>
      <c r="I142" s="257">
        <f>I139+I129+I105</f>
        <v>194150.29400000002</v>
      </c>
      <c r="J142" s="257">
        <f>J139+J129+J105</f>
        <v>310323.87</v>
      </c>
      <c r="K142" s="257">
        <f t="shared" si="32"/>
        <v>258499.21899999998</v>
      </c>
      <c r="L142" s="257">
        <f t="shared" si="32"/>
        <v>546924.4230000001</v>
      </c>
      <c r="M142" s="256">
        <f t="shared" si="32"/>
        <v>727494.3960000001</v>
      </c>
      <c r="N142" s="261">
        <f t="shared" si="32"/>
        <v>407205.8040000001</v>
      </c>
      <c r="O142" s="256">
        <f t="shared" si="32"/>
        <v>310388.364</v>
      </c>
      <c r="P142" s="7">
        <f t="shared" si="30"/>
        <v>3370654.757</v>
      </c>
    </row>
    <row r="143" ht="18.75">
      <c r="O143" s="66"/>
    </row>
  </sheetData>
  <sheetProtection/>
  <mergeCells count="52">
    <mergeCell ref="B5:B6"/>
    <mergeCell ref="B9:B10"/>
    <mergeCell ref="B55:B56"/>
    <mergeCell ref="B59:B60"/>
    <mergeCell ref="A45:B46"/>
    <mergeCell ref="A47:B48"/>
    <mergeCell ref="A41:B42"/>
    <mergeCell ref="A39:B40"/>
    <mergeCell ref="B15:B16"/>
    <mergeCell ref="B17:B18"/>
    <mergeCell ref="B118:B119"/>
    <mergeCell ref="B37:B38"/>
    <mergeCell ref="B106:B107"/>
    <mergeCell ref="B108:B109"/>
    <mergeCell ref="B110:B111"/>
    <mergeCell ref="A49:B50"/>
    <mergeCell ref="A51:B52"/>
    <mergeCell ref="A98:B99"/>
    <mergeCell ref="B21:B22"/>
    <mergeCell ref="B23:B24"/>
    <mergeCell ref="B116:B117"/>
    <mergeCell ref="A102:B103"/>
    <mergeCell ref="A104:B105"/>
    <mergeCell ref="B112:B113"/>
    <mergeCell ref="B114:B115"/>
    <mergeCell ref="B25:B26"/>
    <mergeCell ref="B29:B30"/>
    <mergeCell ref="B31:B32"/>
    <mergeCell ref="B132:B133"/>
    <mergeCell ref="B120:B121"/>
    <mergeCell ref="B122:B123"/>
    <mergeCell ref="B124:B125"/>
    <mergeCell ref="B128:B129"/>
    <mergeCell ref="B130:B131"/>
    <mergeCell ref="B33:B34"/>
    <mergeCell ref="A43:B44"/>
    <mergeCell ref="A92:B93"/>
    <mergeCell ref="A94:B95"/>
    <mergeCell ref="B65:B66"/>
    <mergeCell ref="B61:B62"/>
    <mergeCell ref="A53:B54"/>
    <mergeCell ref="A90:B91"/>
    <mergeCell ref="A1:P1"/>
    <mergeCell ref="A100:B101"/>
    <mergeCell ref="B76:B77"/>
    <mergeCell ref="B88:B89"/>
    <mergeCell ref="B78:B79"/>
    <mergeCell ref="B80:B81"/>
    <mergeCell ref="B84:B85"/>
    <mergeCell ref="A96:B97"/>
    <mergeCell ref="A11:B12"/>
    <mergeCell ref="B13:B14"/>
  </mergeCells>
  <printOptions/>
  <pageMargins left="0.7" right="0.7" top="0.75" bottom="0.75" header="0.3" footer="0.3"/>
  <pageSetup firstPageNumber="45" useFirstPageNumber="1" fitToHeight="2" fitToWidth="1" horizontalDpi="600" verticalDpi="600" orientation="landscape" paperSize="9" scale="36" r:id="rId1"/>
  <rowBreaks count="1" manualBreakCount="1">
    <brk id="7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zoomScale="50" zoomScaleNormal="50" zoomScalePageLayoutView="0" workbookViewId="0" topLeftCell="A1">
      <pane xSplit="3" ySplit="4" topLeftCell="D5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6" width="22.625" style="70" customWidth="1"/>
    <col min="7" max="10" width="22.625" style="11" customWidth="1"/>
    <col min="11" max="11" width="22.625" style="70" customWidth="1"/>
    <col min="12" max="15" width="22.625" style="11" customWidth="1"/>
    <col min="16" max="16" width="25.625" style="37" customWidth="1"/>
    <col min="17" max="16384" width="9.00390625" style="71" customWidth="1"/>
  </cols>
  <sheetData>
    <row r="1" spans="1:16" ht="30.75" customHeight="1">
      <c r="A1" s="375" t="s">
        <v>104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ht="30.75" customHeight="1">
      <c r="B2" s="36"/>
    </row>
    <row r="3" spans="1:15" ht="19.5" customHeight="1" thickBot="1">
      <c r="A3" s="12"/>
      <c r="B3" s="39" t="s">
        <v>80</v>
      </c>
      <c r="C3" s="12"/>
      <c r="O3" s="12" t="s">
        <v>90</v>
      </c>
    </row>
    <row r="4" spans="1:16" ht="19.5" customHeight="1">
      <c r="A4" s="40"/>
      <c r="B4" s="41"/>
      <c r="C4" s="41"/>
      <c r="D4" s="82" t="s">
        <v>2</v>
      </c>
      <c r="E4" s="82" t="s">
        <v>3</v>
      </c>
      <c r="F4" s="82" t="s">
        <v>4</v>
      </c>
      <c r="G4" s="42" t="s">
        <v>5</v>
      </c>
      <c r="H4" s="42" t="s">
        <v>6</v>
      </c>
      <c r="I4" s="42" t="s">
        <v>7</v>
      </c>
      <c r="J4" s="42" t="s">
        <v>8</v>
      </c>
      <c r="K4" s="82" t="s">
        <v>9</v>
      </c>
      <c r="L4" s="42" t="s">
        <v>10</v>
      </c>
      <c r="M4" s="42" t="s">
        <v>11</v>
      </c>
      <c r="N4" s="42" t="s">
        <v>12</v>
      </c>
      <c r="O4" s="42" t="s">
        <v>13</v>
      </c>
      <c r="P4" s="43" t="s">
        <v>14</v>
      </c>
    </row>
    <row r="5" spans="1:16" ht="19.5" customHeight="1">
      <c r="A5" s="44" t="s">
        <v>0</v>
      </c>
      <c r="B5" s="382" t="s">
        <v>15</v>
      </c>
      <c r="C5" s="54" t="s">
        <v>16</v>
      </c>
      <c r="D5" s="106"/>
      <c r="E5" s="106"/>
      <c r="F5" s="208"/>
      <c r="G5" s="99"/>
      <c r="H5" s="110"/>
      <c r="I5" s="114"/>
      <c r="J5" s="99"/>
      <c r="K5" s="106"/>
      <c r="L5" s="99"/>
      <c r="M5" s="106"/>
      <c r="N5" s="106"/>
      <c r="O5" s="99"/>
      <c r="P5" s="8"/>
    </row>
    <row r="6" spans="1:16" ht="19.5" customHeight="1">
      <c r="A6" s="44" t="s">
        <v>17</v>
      </c>
      <c r="B6" s="383"/>
      <c r="C6" s="48" t="s">
        <v>18</v>
      </c>
      <c r="D6" s="107"/>
      <c r="E6" s="107"/>
      <c r="F6" s="209"/>
      <c r="G6" s="100"/>
      <c r="H6" s="111"/>
      <c r="I6" s="33"/>
      <c r="J6" s="100"/>
      <c r="K6" s="107"/>
      <c r="L6" s="100"/>
      <c r="M6" s="107"/>
      <c r="N6" s="107"/>
      <c r="O6" s="100"/>
      <c r="P6" s="9"/>
    </row>
    <row r="7" spans="1:16" ht="19.5" customHeight="1">
      <c r="A7" s="44" t="s">
        <v>19</v>
      </c>
      <c r="B7" s="47" t="s">
        <v>20</v>
      </c>
      <c r="C7" s="54" t="s">
        <v>16</v>
      </c>
      <c r="D7" s="106">
        <v>0.64</v>
      </c>
      <c r="E7" s="106">
        <v>0.105</v>
      </c>
      <c r="F7" s="208">
        <v>0.318</v>
      </c>
      <c r="G7" s="99">
        <v>0.348</v>
      </c>
      <c r="H7" s="112">
        <v>0.356</v>
      </c>
      <c r="I7" s="114">
        <v>0.34</v>
      </c>
      <c r="J7" s="99">
        <v>0.16</v>
      </c>
      <c r="K7" s="106">
        <v>0.024</v>
      </c>
      <c r="L7" s="99">
        <v>0.02</v>
      </c>
      <c r="M7" s="106">
        <v>0.086</v>
      </c>
      <c r="N7" s="106">
        <v>0.001</v>
      </c>
      <c r="O7" s="99">
        <v>92.682</v>
      </c>
      <c r="P7" s="8">
        <f aca="true" t="shared" si="0" ref="P7:P36">SUM(D7:O7)</f>
        <v>95.08</v>
      </c>
    </row>
    <row r="8" spans="1:16" ht="19.5" customHeight="1">
      <c r="A8" s="44" t="s">
        <v>21</v>
      </c>
      <c r="B8" s="48" t="s">
        <v>22</v>
      </c>
      <c r="C8" s="48" t="s">
        <v>18</v>
      </c>
      <c r="D8" s="107">
        <v>218.453</v>
      </c>
      <c r="E8" s="107">
        <v>55.02</v>
      </c>
      <c r="F8" s="209">
        <v>116.498</v>
      </c>
      <c r="G8" s="100">
        <v>109.296</v>
      </c>
      <c r="H8" s="111">
        <v>149.04</v>
      </c>
      <c r="I8" s="115">
        <v>152.928</v>
      </c>
      <c r="J8" s="100">
        <v>72.9</v>
      </c>
      <c r="K8" s="107">
        <v>16.416</v>
      </c>
      <c r="L8" s="100">
        <v>12.744</v>
      </c>
      <c r="M8" s="107">
        <v>38.88</v>
      </c>
      <c r="N8" s="107">
        <v>0.108</v>
      </c>
      <c r="O8" s="100">
        <v>1816.614</v>
      </c>
      <c r="P8" s="9">
        <f t="shared" si="0"/>
        <v>2758.897</v>
      </c>
    </row>
    <row r="9" spans="1:16" s="38" customFormat="1" ht="19.5" customHeight="1">
      <c r="A9" s="44" t="s">
        <v>23</v>
      </c>
      <c r="B9" s="380" t="s">
        <v>114</v>
      </c>
      <c r="C9" s="54" t="s">
        <v>16</v>
      </c>
      <c r="D9" s="5">
        <f aca="true" t="shared" si="1" ref="D9:L9">+D5+D7</f>
        <v>0.64</v>
      </c>
      <c r="E9" s="5">
        <f t="shared" si="1"/>
        <v>0.105</v>
      </c>
      <c r="F9" s="5">
        <f t="shared" si="1"/>
        <v>0.318</v>
      </c>
      <c r="G9" s="1">
        <f t="shared" si="1"/>
        <v>0.348</v>
      </c>
      <c r="H9" s="1">
        <f t="shared" si="1"/>
        <v>0.356</v>
      </c>
      <c r="I9" s="1">
        <f t="shared" si="1"/>
        <v>0.34</v>
      </c>
      <c r="J9" s="1">
        <f t="shared" si="1"/>
        <v>0.16</v>
      </c>
      <c r="K9" s="5">
        <f t="shared" si="1"/>
        <v>0.024</v>
      </c>
      <c r="L9" s="5">
        <f t="shared" si="1"/>
        <v>0.02</v>
      </c>
      <c r="M9" s="5">
        <f aca="true" t="shared" si="2" ref="M9:O10">+M5+M7</f>
        <v>0.086</v>
      </c>
      <c r="N9" s="5">
        <f t="shared" si="2"/>
        <v>0.001</v>
      </c>
      <c r="O9" s="5">
        <f t="shared" si="2"/>
        <v>92.682</v>
      </c>
      <c r="P9" s="8">
        <f>SUM(D9:O9)</f>
        <v>95.08</v>
      </c>
    </row>
    <row r="10" spans="1:16" s="38" customFormat="1" ht="19.5" customHeight="1">
      <c r="A10" s="49"/>
      <c r="B10" s="381"/>
      <c r="C10" s="48" t="s">
        <v>18</v>
      </c>
      <c r="D10" s="34">
        <f aca="true" t="shared" si="3" ref="D10:L10">+D6+D8</f>
        <v>218.453</v>
      </c>
      <c r="E10" s="34">
        <f t="shared" si="3"/>
        <v>55.02</v>
      </c>
      <c r="F10" s="34">
        <f t="shared" si="3"/>
        <v>116.498</v>
      </c>
      <c r="G10" s="2">
        <f t="shared" si="3"/>
        <v>109.296</v>
      </c>
      <c r="H10" s="2">
        <f t="shared" si="3"/>
        <v>149.04</v>
      </c>
      <c r="I10" s="2">
        <f t="shared" si="3"/>
        <v>152.928</v>
      </c>
      <c r="J10" s="2">
        <f t="shared" si="3"/>
        <v>72.9</v>
      </c>
      <c r="K10" s="34">
        <f t="shared" si="3"/>
        <v>16.416</v>
      </c>
      <c r="L10" s="34">
        <f t="shared" si="3"/>
        <v>12.744</v>
      </c>
      <c r="M10" s="34">
        <f t="shared" si="2"/>
        <v>38.88</v>
      </c>
      <c r="N10" s="34">
        <f t="shared" si="2"/>
        <v>0.108</v>
      </c>
      <c r="O10" s="34">
        <f t="shared" si="2"/>
        <v>1816.614</v>
      </c>
      <c r="P10" s="9">
        <f>SUM(D10:O10)</f>
        <v>2758.897</v>
      </c>
    </row>
    <row r="11" spans="1:16" ht="19.5" customHeight="1">
      <c r="A11" s="376" t="s">
        <v>25</v>
      </c>
      <c r="B11" s="377"/>
      <c r="C11" s="54" t="s">
        <v>16</v>
      </c>
      <c r="D11" s="106">
        <v>0.079</v>
      </c>
      <c r="E11" s="106">
        <v>0.354</v>
      </c>
      <c r="F11" s="208"/>
      <c r="G11" s="99"/>
      <c r="H11" s="112">
        <v>1.1862</v>
      </c>
      <c r="I11" s="114">
        <v>12.7769</v>
      </c>
      <c r="J11" s="99">
        <v>7.7554</v>
      </c>
      <c r="K11" s="106">
        <v>0.6881</v>
      </c>
      <c r="L11" s="99">
        <v>0.5962</v>
      </c>
      <c r="M11" s="106">
        <v>0.2165</v>
      </c>
      <c r="N11" s="106">
        <v>0.2086</v>
      </c>
      <c r="O11" s="99"/>
      <c r="P11" s="8">
        <f t="shared" si="0"/>
        <v>23.860899999999997</v>
      </c>
    </row>
    <row r="12" spans="1:16" ht="19.5" customHeight="1">
      <c r="A12" s="378"/>
      <c r="B12" s="379"/>
      <c r="C12" s="48" t="s">
        <v>18</v>
      </c>
      <c r="D12" s="107">
        <v>12.915</v>
      </c>
      <c r="E12" s="107">
        <v>12.769</v>
      </c>
      <c r="F12" s="209"/>
      <c r="G12" s="100"/>
      <c r="H12" s="111">
        <v>631.515</v>
      </c>
      <c r="I12" s="32">
        <v>2189.515</v>
      </c>
      <c r="J12" s="100">
        <v>1235.11</v>
      </c>
      <c r="K12" s="107">
        <v>432.069</v>
      </c>
      <c r="L12" s="100">
        <v>428.571</v>
      </c>
      <c r="M12" s="107">
        <v>209.072</v>
      </c>
      <c r="N12" s="118">
        <v>20.447</v>
      </c>
      <c r="O12" s="100"/>
      <c r="P12" s="9">
        <f t="shared" si="0"/>
        <v>5171.983</v>
      </c>
    </row>
    <row r="13" spans="1:16" ht="19.5" customHeight="1">
      <c r="A13" s="50"/>
      <c r="B13" s="382" t="s">
        <v>26</v>
      </c>
      <c r="C13" s="54" t="s">
        <v>16</v>
      </c>
      <c r="D13" s="106">
        <v>6.5685</v>
      </c>
      <c r="E13" s="106">
        <v>3.9786</v>
      </c>
      <c r="F13" s="208">
        <v>5.5243</v>
      </c>
      <c r="G13" s="99">
        <v>4.5502</v>
      </c>
      <c r="H13" s="112">
        <v>14.3875</v>
      </c>
      <c r="I13" s="116">
        <v>9.842</v>
      </c>
      <c r="J13" s="99">
        <v>5.4524</v>
      </c>
      <c r="K13" s="106">
        <v>7.2494</v>
      </c>
      <c r="L13" s="99">
        <v>5.4818</v>
      </c>
      <c r="M13" s="106">
        <v>4.9724</v>
      </c>
      <c r="N13" s="106">
        <v>5.5407</v>
      </c>
      <c r="O13" s="99">
        <v>14.5018</v>
      </c>
      <c r="P13" s="8">
        <f t="shared" si="0"/>
        <v>88.04960000000001</v>
      </c>
    </row>
    <row r="14" spans="1:16" ht="19.5" customHeight="1">
      <c r="A14" s="44" t="s">
        <v>0</v>
      </c>
      <c r="B14" s="383"/>
      <c r="C14" s="48" t="s">
        <v>18</v>
      </c>
      <c r="D14" s="107">
        <v>23424.284</v>
      </c>
      <c r="E14" s="107">
        <v>14414.958</v>
      </c>
      <c r="F14" s="209">
        <v>18304.263</v>
      </c>
      <c r="G14" s="100">
        <v>15785.087</v>
      </c>
      <c r="H14" s="111">
        <v>43051.64</v>
      </c>
      <c r="I14" s="32">
        <v>23756.772</v>
      </c>
      <c r="J14" s="100">
        <v>16769.31</v>
      </c>
      <c r="K14" s="107">
        <v>22299.939</v>
      </c>
      <c r="L14" s="100">
        <v>17163.511</v>
      </c>
      <c r="M14" s="107">
        <v>15618.171</v>
      </c>
      <c r="N14" s="107">
        <v>16535.979</v>
      </c>
      <c r="O14" s="100">
        <v>47565.552</v>
      </c>
      <c r="P14" s="9">
        <f t="shared" si="0"/>
        <v>274689.466</v>
      </c>
    </row>
    <row r="15" spans="1:16" ht="19.5" customHeight="1">
      <c r="A15" s="44" t="s">
        <v>27</v>
      </c>
      <c r="B15" s="382" t="s">
        <v>28</v>
      </c>
      <c r="C15" s="54" t="s">
        <v>16</v>
      </c>
      <c r="D15" s="106"/>
      <c r="E15" s="106"/>
      <c r="F15" s="208"/>
      <c r="G15" s="99">
        <v>0.0036</v>
      </c>
      <c r="H15" s="112">
        <v>0.1095</v>
      </c>
      <c r="I15" s="116">
        <v>2.2233</v>
      </c>
      <c r="J15" s="99">
        <v>0.0252</v>
      </c>
      <c r="K15" s="106"/>
      <c r="L15" s="99">
        <v>0.003</v>
      </c>
      <c r="M15" s="106"/>
      <c r="N15" s="106"/>
      <c r="O15" s="99"/>
      <c r="P15" s="8">
        <f t="shared" si="0"/>
        <v>2.3646000000000003</v>
      </c>
    </row>
    <row r="16" spans="1:16" ht="19.5" customHeight="1">
      <c r="A16" s="44" t="s">
        <v>0</v>
      </c>
      <c r="B16" s="383"/>
      <c r="C16" s="48" t="s">
        <v>18</v>
      </c>
      <c r="D16" s="107"/>
      <c r="E16" s="107"/>
      <c r="F16" s="209"/>
      <c r="G16" s="100">
        <v>2.333</v>
      </c>
      <c r="H16" s="111">
        <v>184.939</v>
      </c>
      <c r="I16" s="32">
        <v>2374.941</v>
      </c>
      <c r="J16" s="100">
        <v>14.424</v>
      </c>
      <c r="K16" s="107"/>
      <c r="L16" s="100">
        <v>2.268</v>
      </c>
      <c r="M16" s="107"/>
      <c r="N16" s="118"/>
      <c r="O16" s="100"/>
      <c r="P16" s="9">
        <f t="shared" si="0"/>
        <v>2578.9049999999997</v>
      </c>
    </row>
    <row r="17" spans="1:16" ht="19.5" customHeight="1">
      <c r="A17" s="44" t="s">
        <v>29</v>
      </c>
      <c r="B17" s="382" t="s">
        <v>30</v>
      </c>
      <c r="C17" s="54" t="s">
        <v>16</v>
      </c>
      <c r="D17" s="106">
        <v>46.8904</v>
      </c>
      <c r="E17" s="106">
        <v>33.9062</v>
      </c>
      <c r="F17" s="208">
        <v>21.467</v>
      </c>
      <c r="G17" s="99">
        <v>50.3631</v>
      </c>
      <c r="H17" s="112">
        <v>23.5678</v>
      </c>
      <c r="I17" s="116">
        <v>18.0498</v>
      </c>
      <c r="J17" s="99">
        <v>22.01</v>
      </c>
      <c r="K17" s="106">
        <v>44.3098</v>
      </c>
      <c r="L17" s="99">
        <v>86.5008</v>
      </c>
      <c r="M17" s="106">
        <v>167.4994</v>
      </c>
      <c r="N17" s="106">
        <v>131.5066</v>
      </c>
      <c r="O17" s="99">
        <v>80.3618</v>
      </c>
      <c r="P17" s="8">
        <f t="shared" si="0"/>
        <v>726.4327</v>
      </c>
    </row>
    <row r="18" spans="1:16" ht="19.5" customHeight="1">
      <c r="A18" s="50"/>
      <c r="B18" s="383"/>
      <c r="C18" s="48" t="s">
        <v>18</v>
      </c>
      <c r="D18" s="107">
        <v>50339.535</v>
      </c>
      <c r="E18" s="107">
        <v>33687.027</v>
      </c>
      <c r="F18" s="209">
        <v>30889.414</v>
      </c>
      <c r="G18" s="100">
        <v>58603.837</v>
      </c>
      <c r="H18" s="111">
        <v>28547.4</v>
      </c>
      <c r="I18" s="32">
        <v>21974.317</v>
      </c>
      <c r="J18" s="100">
        <v>30197.874</v>
      </c>
      <c r="K18" s="107">
        <v>65798.705</v>
      </c>
      <c r="L18" s="100">
        <v>138475.29</v>
      </c>
      <c r="M18" s="107">
        <v>264818.726</v>
      </c>
      <c r="N18" s="118">
        <v>174212.429</v>
      </c>
      <c r="O18" s="100">
        <v>131180.678</v>
      </c>
      <c r="P18" s="9">
        <f t="shared" si="0"/>
        <v>1028725.2320000001</v>
      </c>
    </row>
    <row r="19" spans="1:16" ht="19.5" customHeight="1">
      <c r="A19" s="44" t="s">
        <v>31</v>
      </c>
      <c r="B19" s="47" t="s">
        <v>108</v>
      </c>
      <c r="C19" s="54" t="s">
        <v>16</v>
      </c>
      <c r="D19" s="106">
        <v>18.5206</v>
      </c>
      <c r="E19" s="106">
        <v>36.2078</v>
      </c>
      <c r="F19" s="208">
        <v>13.3848</v>
      </c>
      <c r="G19" s="99">
        <v>18.927</v>
      </c>
      <c r="H19" s="112">
        <v>11.91</v>
      </c>
      <c r="I19" s="116">
        <v>97.4804</v>
      </c>
      <c r="J19" s="99">
        <v>10.4726</v>
      </c>
      <c r="K19" s="106">
        <v>7.3272</v>
      </c>
      <c r="L19" s="99">
        <v>1.5088</v>
      </c>
      <c r="M19" s="106">
        <v>4.2336</v>
      </c>
      <c r="N19" s="106">
        <v>2.3348</v>
      </c>
      <c r="O19" s="99">
        <v>1.7788</v>
      </c>
      <c r="P19" s="8">
        <f t="shared" si="0"/>
        <v>224.0864</v>
      </c>
    </row>
    <row r="20" spans="1:16" ht="19.5" customHeight="1">
      <c r="A20" s="50"/>
      <c r="B20" s="48" t="s">
        <v>109</v>
      </c>
      <c r="C20" s="48" t="s">
        <v>18</v>
      </c>
      <c r="D20" s="107">
        <v>13963.66</v>
      </c>
      <c r="E20" s="107">
        <v>26133.195</v>
      </c>
      <c r="F20" s="209">
        <v>9213.806</v>
      </c>
      <c r="G20" s="100">
        <v>10216.819</v>
      </c>
      <c r="H20" s="111">
        <v>6489.767</v>
      </c>
      <c r="I20" s="32">
        <v>44101.763</v>
      </c>
      <c r="J20" s="100">
        <v>5559.608</v>
      </c>
      <c r="K20" s="107">
        <v>6032.881</v>
      </c>
      <c r="L20" s="100">
        <v>1575.57</v>
      </c>
      <c r="M20" s="107">
        <v>5497.28</v>
      </c>
      <c r="N20" s="118">
        <v>2760.941</v>
      </c>
      <c r="O20" s="100">
        <v>2070.762</v>
      </c>
      <c r="P20" s="9">
        <f t="shared" si="0"/>
        <v>133616.052</v>
      </c>
    </row>
    <row r="21" spans="1:16" ht="19.5" customHeight="1">
      <c r="A21" s="44" t="s">
        <v>23</v>
      </c>
      <c r="B21" s="382" t="s">
        <v>32</v>
      </c>
      <c r="C21" s="54" t="s">
        <v>16</v>
      </c>
      <c r="D21" s="106">
        <v>146.1168</v>
      </c>
      <c r="E21" s="106">
        <v>154.1372</v>
      </c>
      <c r="F21" s="208">
        <v>65.1846</v>
      </c>
      <c r="G21" s="99">
        <v>72.275</v>
      </c>
      <c r="H21" s="112">
        <v>200.0556</v>
      </c>
      <c r="I21" s="153">
        <v>74.0854</v>
      </c>
      <c r="J21" s="99">
        <v>106.314</v>
      </c>
      <c r="K21" s="106">
        <v>74.3642</v>
      </c>
      <c r="L21" s="99">
        <v>0.7394</v>
      </c>
      <c r="M21" s="106">
        <v>49.3448</v>
      </c>
      <c r="N21" s="106">
        <v>209.1114</v>
      </c>
      <c r="O21" s="99">
        <v>277.4208</v>
      </c>
      <c r="P21" s="8">
        <f t="shared" si="0"/>
        <v>1429.1491999999998</v>
      </c>
    </row>
    <row r="22" spans="1:16" ht="19.5" customHeight="1">
      <c r="A22" s="50"/>
      <c r="B22" s="383"/>
      <c r="C22" s="48" t="s">
        <v>18</v>
      </c>
      <c r="D22" s="107">
        <v>67972.739</v>
      </c>
      <c r="E22" s="107">
        <v>90704.497</v>
      </c>
      <c r="F22" s="209">
        <v>40145.274</v>
      </c>
      <c r="G22" s="100">
        <v>32283.496</v>
      </c>
      <c r="H22" s="111">
        <v>55805.908</v>
      </c>
      <c r="I22" s="154">
        <v>22649.261</v>
      </c>
      <c r="J22" s="100">
        <v>39263.848</v>
      </c>
      <c r="K22" s="107">
        <v>31532.33</v>
      </c>
      <c r="L22" s="100">
        <v>323.974</v>
      </c>
      <c r="M22" s="107">
        <v>21304.67</v>
      </c>
      <c r="N22" s="118">
        <v>71587.003</v>
      </c>
      <c r="O22" s="100">
        <v>98959.647</v>
      </c>
      <c r="P22" s="9">
        <f t="shared" si="0"/>
        <v>572532.647</v>
      </c>
    </row>
    <row r="23" spans="1:16" s="38" customFormat="1" ht="19.5" customHeight="1">
      <c r="A23" s="50"/>
      <c r="B23" s="380" t="s">
        <v>114</v>
      </c>
      <c r="C23" s="54" t="s">
        <v>16</v>
      </c>
      <c r="D23" s="5">
        <f aca="true" t="shared" si="4" ref="D23:L23">+D13+D15+D17+D19+D21</f>
        <v>218.0963</v>
      </c>
      <c r="E23" s="5">
        <f t="shared" si="4"/>
        <v>228.2298</v>
      </c>
      <c r="F23" s="5">
        <f t="shared" si="4"/>
        <v>105.5607</v>
      </c>
      <c r="G23" s="1">
        <f t="shared" si="4"/>
        <v>146.1189</v>
      </c>
      <c r="H23" s="1">
        <f t="shared" si="4"/>
        <v>250.0304</v>
      </c>
      <c r="I23" s="1">
        <f t="shared" si="4"/>
        <v>201.6809</v>
      </c>
      <c r="J23" s="1">
        <f t="shared" si="4"/>
        <v>144.2742</v>
      </c>
      <c r="K23" s="5">
        <f t="shared" si="4"/>
        <v>133.2506</v>
      </c>
      <c r="L23" s="5">
        <f t="shared" si="4"/>
        <v>94.2338</v>
      </c>
      <c r="M23" s="5">
        <f aca="true" t="shared" si="5" ref="M23:O24">+M13+M15+M17+M19+M21</f>
        <v>226.0502</v>
      </c>
      <c r="N23" s="5">
        <f t="shared" si="5"/>
        <v>348.4935</v>
      </c>
      <c r="O23" s="5">
        <f t="shared" si="5"/>
        <v>374.0632</v>
      </c>
      <c r="P23" s="8">
        <f>SUM(D23:O23)</f>
        <v>2470.0825</v>
      </c>
    </row>
    <row r="24" spans="1:16" s="38" customFormat="1" ht="19.5" customHeight="1">
      <c r="A24" s="49"/>
      <c r="B24" s="381"/>
      <c r="C24" s="48" t="s">
        <v>18</v>
      </c>
      <c r="D24" s="34">
        <f aca="true" t="shared" si="6" ref="D24:L24">+D14+D16+D18+D20+D22</f>
        <v>155700.218</v>
      </c>
      <c r="E24" s="34">
        <f t="shared" si="6"/>
        <v>164939.677</v>
      </c>
      <c r="F24" s="34">
        <f t="shared" si="6"/>
        <v>98552.75699999998</v>
      </c>
      <c r="G24" s="2">
        <f t="shared" si="6"/>
        <v>116891.572</v>
      </c>
      <c r="H24" s="2">
        <f t="shared" si="6"/>
        <v>134079.65399999998</v>
      </c>
      <c r="I24" s="2">
        <f t="shared" si="6"/>
        <v>114857.054</v>
      </c>
      <c r="J24" s="2">
        <f t="shared" si="6"/>
        <v>91805.064</v>
      </c>
      <c r="K24" s="34">
        <f t="shared" si="6"/>
        <v>125663.855</v>
      </c>
      <c r="L24" s="34">
        <f t="shared" si="6"/>
        <v>157540.613</v>
      </c>
      <c r="M24" s="34">
        <f t="shared" si="5"/>
        <v>307238.847</v>
      </c>
      <c r="N24" s="34">
        <f t="shared" si="5"/>
        <v>265096.35199999996</v>
      </c>
      <c r="O24" s="34">
        <f t="shared" si="5"/>
        <v>279776.63899999997</v>
      </c>
      <c r="P24" s="9">
        <f>SUM(D24:O24)</f>
        <v>2012142.3020000001</v>
      </c>
    </row>
    <row r="25" spans="1:16" ht="19.5" customHeight="1">
      <c r="A25" s="44" t="s">
        <v>0</v>
      </c>
      <c r="B25" s="382" t="s">
        <v>33</v>
      </c>
      <c r="C25" s="54" t="s">
        <v>16</v>
      </c>
      <c r="D25" s="106">
        <v>3.53</v>
      </c>
      <c r="E25" s="106">
        <v>1.104</v>
      </c>
      <c r="F25" s="208">
        <v>0.753</v>
      </c>
      <c r="G25" s="99">
        <v>2.323</v>
      </c>
      <c r="H25" s="112">
        <v>3.635</v>
      </c>
      <c r="I25" s="114">
        <v>1.398</v>
      </c>
      <c r="J25" s="99">
        <v>1.284</v>
      </c>
      <c r="K25" s="106">
        <v>1.971</v>
      </c>
      <c r="L25" s="99">
        <v>4.992</v>
      </c>
      <c r="M25" s="106">
        <v>5.963</v>
      </c>
      <c r="N25" s="106">
        <v>12.626</v>
      </c>
      <c r="O25" s="99">
        <v>13.559</v>
      </c>
      <c r="P25" s="8">
        <f t="shared" si="0"/>
        <v>53.138</v>
      </c>
    </row>
    <row r="26" spans="1:16" ht="19.5" customHeight="1">
      <c r="A26" s="44" t="s">
        <v>34</v>
      </c>
      <c r="B26" s="383"/>
      <c r="C26" s="48" t="s">
        <v>18</v>
      </c>
      <c r="D26" s="107">
        <v>2284.025</v>
      </c>
      <c r="E26" s="107">
        <v>820.051</v>
      </c>
      <c r="F26" s="209">
        <v>752.115</v>
      </c>
      <c r="G26" s="100">
        <v>2135.106</v>
      </c>
      <c r="H26" s="111">
        <v>3410.467</v>
      </c>
      <c r="I26" s="32">
        <v>1116.515</v>
      </c>
      <c r="J26" s="100">
        <v>779.382</v>
      </c>
      <c r="K26" s="107">
        <v>1724.587</v>
      </c>
      <c r="L26" s="100">
        <v>3526.286</v>
      </c>
      <c r="M26" s="107">
        <v>4976.651</v>
      </c>
      <c r="N26" s="118">
        <v>7908.019</v>
      </c>
      <c r="O26" s="100">
        <v>9115.674</v>
      </c>
      <c r="P26" s="9">
        <f t="shared" si="0"/>
        <v>38548.878</v>
      </c>
    </row>
    <row r="27" spans="1:16" ht="19.5" customHeight="1">
      <c r="A27" s="44" t="s">
        <v>35</v>
      </c>
      <c r="B27" s="47" t="s">
        <v>20</v>
      </c>
      <c r="C27" s="54" t="s">
        <v>16</v>
      </c>
      <c r="D27" s="106">
        <v>8.824</v>
      </c>
      <c r="E27" s="106">
        <v>7.782</v>
      </c>
      <c r="F27" s="208">
        <v>7.66</v>
      </c>
      <c r="G27" s="99">
        <v>9.817</v>
      </c>
      <c r="H27" s="112">
        <v>5.4</v>
      </c>
      <c r="I27" s="116">
        <v>7.061</v>
      </c>
      <c r="J27" s="99">
        <v>11.435</v>
      </c>
      <c r="K27" s="106">
        <v>10.209</v>
      </c>
      <c r="L27" s="99">
        <v>13.082</v>
      </c>
      <c r="M27" s="106">
        <v>24.388</v>
      </c>
      <c r="N27" s="106">
        <v>13.234</v>
      </c>
      <c r="O27" s="99">
        <v>2.385</v>
      </c>
      <c r="P27" s="8">
        <f t="shared" si="0"/>
        <v>121.27700000000002</v>
      </c>
    </row>
    <row r="28" spans="1:16" ht="19.5" customHeight="1">
      <c r="A28" s="44" t="s">
        <v>36</v>
      </c>
      <c r="B28" s="48" t="s">
        <v>110</v>
      </c>
      <c r="C28" s="48" t="s">
        <v>18</v>
      </c>
      <c r="D28" s="107">
        <v>3500.82</v>
      </c>
      <c r="E28" s="107">
        <v>2376.82</v>
      </c>
      <c r="F28" s="209">
        <v>3411.742</v>
      </c>
      <c r="G28" s="100">
        <v>3984.453</v>
      </c>
      <c r="H28" s="111">
        <v>2045.983</v>
      </c>
      <c r="I28" s="155">
        <v>1744.33</v>
      </c>
      <c r="J28" s="100">
        <v>2935.703</v>
      </c>
      <c r="K28" s="107">
        <v>3216.174</v>
      </c>
      <c r="L28" s="100">
        <v>5782.222</v>
      </c>
      <c r="M28" s="107">
        <v>9522.608</v>
      </c>
      <c r="N28" s="107">
        <v>5153.551</v>
      </c>
      <c r="O28" s="100">
        <v>1629.839</v>
      </c>
      <c r="P28" s="9">
        <f t="shared" si="0"/>
        <v>45304.245</v>
      </c>
    </row>
    <row r="29" spans="1:16" s="38" customFormat="1" ht="19.5" customHeight="1">
      <c r="A29" s="44" t="s">
        <v>23</v>
      </c>
      <c r="B29" s="380" t="s">
        <v>114</v>
      </c>
      <c r="C29" s="54" t="s">
        <v>16</v>
      </c>
      <c r="D29" s="5">
        <f aca="true" t="shared" si="7" ref="D29:F30">+D25+D27</f>
        <v>12.354</v>
      </c>
      <c r="E29" s="5">
        <f t="shared" si="7"/>
        <v>8.886</v>
      </c>
      <c r="F29" s="5">
        <f t="shared" si="7"/>
        <v>8.413</v>
      </c>
      <c r="G29" s="1">
        <f aca="true" t="shared" si="8" ref="G29:O29">+G25+G27</f>
        <v>12.14</v>
      </c>
      <c r="H29" s="1">
        <f t="shared" si="8"/>
        <v>9.035</v>
      </c>
      <c r="I29" s="1">
        <f t="shared" si="8"/>
        <v>8.459</v>
      </c>
      <c r="J29" s="1">
        <f t="shared" si="8"/>
        <v>12.719000000000001</v>
      </c>
      <c r="K29" s="5">
        <f t="shared" si="8"/>
        <v>12.18</v>
      </c>
      <c r="L29" s="5">
        <f t="shared" si="8"/>
        <v>18.074</v>
      </c>
      <c r="M29" s="5">
        <f t="shared" si="8"/>
        <v>30.351000000000003</v>
      </c>
      <c r="N29" s="5">
        <f t="shared" si="8"/>
        <v>25.86</v>
      </c>
      <c r="O29" s="5">
        <f t="shared" si="8"/>
        <v>15.943999999999999</v>
      </c>
      <c r="P29" s="8">
        <f>SUM(D29:O29)</f>
        <v>174.415</v>
      </c>
    </row>
    <row r="30" spans="1:16" s="38" customFormat="1" ht="19.5" customHeight="1">
      <c r="A30" s="49"/>
      <c r="B30" s="381"/>
      <c r="C30" s="48" t="s">
        <v>18</v>
      </c>
      <c r="D30" s="34">
        <f t="shared" si="7"/>
        <v>5784.845</v>
      </c>
      <c r="E30" s="34">
        <f t="shared" si="7"/>
        <v>3196.871</v>
      </c>
      <c r="F30" s="34">
        <f t="shared" si="7"/>
        <v>4163.857</v>
      </c>
      <c r="G30" s="2">
        <f aca="true" t="shared" si="9" ref="G30:O30">+G26+G28</f>
        <v>6119.559</v>
      </c>
      <c r="H30" s="2">
        <f t="shared" si="9"/>
        <v>5456.45</v>
      </c>
      <c r="I30" s="2">
        <f t="shared" si="9"/>
        <v>2860.8450000000003</v>
      </c>
      <c r="J30" s="2">
        <f t="shared" si="9"/>
        <v>3715.085</v>
      </c>
      <c r="K30" s="34">
        <f t="shared" si="9"/>
        <v>4940.761</v>
      </c>
      <c r="L30" s="34">
        <f t="shared" si="9"/>
        <v>9308.508</v>
      </c>
      <c r="M30" s="34">
        <f t="shared" si="9"/>
        <v>14499.259</v>
      </c>
      <c r="N30" s="34">
        <f t="shared" si="9"/>
        <v>13061.57</v>
      </c>
      <c r="O30" s="34">
        <f t="shared" si="9"/>
        <v>10745.513</v>
      </c>
      <c r="P30" s="9">
        <f>SUM(D30:O30)</f>
        <v>83853.123</v>
      </c>
    </row>
    <row r="31" spans="1:16" ht="19.5" customHeight="1">
      <c r="A31" s="44" t="s">
        <v>0</v>
      </c>
      <c r="B31" s="382" t="s">
        <v>37</v>
      </c>
      <c r="C31" s="54" t="s">
        <v>16</v>
      </c>
      <c r="D31" s="106">
        <v>15.9713</v>
      </c>
      <c r="E31" s="106">
        <v>3.6365</v>
      </c>
      <c r="F31" s="208">
        <v>2.8412</v>
      </c>
      <c r="G31" s="99">
        <v>3.3546</v>
      </c>
      <c r="H31" s="112">
        <v>0.5899</v>
      </c>
      <c r="I31" s="114">
        <v>0.004</v>
      </c>
      <c r="J31" s="99">
        <v>0.006</v>
      </c>
      <c r="K31" s="106"/>
      <c r="L31" s="99">
        <v>0.5377</v>
      </c>
      <c r="M31" s="106">
        <v>0.0712</v>
      </c>
      <c r="N31" s="106">
        <v>0.3783</v>
      </c>
      <c r="O31" s="99">
        <v>4.9202</v>
      </c>
      <c r="P31" s="8">
        <f t="shared" si="0"/>
        <v>32.310900000000004</v>
      </c>
    </row>
    <row r="32" spans="1:16" ht="19.5" customHeight="1">
      <c r="A32" s="44" t="s">
        <v>38</v>
      </c>
      <c r="B32" s="383"/>
      <c r="C32" s="48" t="s">
        <v>18</v>
      </c>
      <c r="D32" s="107">
        <v>1484.399</v>
      </c>
      <c r="E32" s="107">
        <v>568.995</v>
      </c>
      <c r="F32" s="209">
        <v>361.32</v>
      </c>
      <c r="G32" s="100">
        <v>389.434</v>
      </c>
      <c r="H32" s="111">
        <v>49.395</v>
      </c>
      <c r="I32" s="32">
        <v>0.54</v>
      </c>
      <c r="J32" s="100">
        <v>0.065</v>
      </c>
      <c r="K32" s="107"/>
      <c r="L32" s="100">
        <v>84.285</v>
      </c>
      <c r="M32" s="107">
        <v>59.508</v>
      </c>
      <c r="N32" s="118">
        <v>191.604</v>
      </c>
      <c r="O32" s="100">
        <v>1078.217</v>
      </c>
      <c r="P32" s="9">
        <f t="shared" si="0"/>
        <v>4267.762</v>
      </c>
    </row>
    <row r="33" spans="1:16" ht="19.5" customHeight="1">
      <c r="A33" s="44" t="s">
        <v>0</v>
      </c>
      <c r="B33" s="382" t="s">
        <v>39</v>
      </c>
      <c r="C33" s="54" t="s">
        <v>16</v>
      </c>
      <c r="D33" s="106">
        <v>0.3126</v>
      </c>
      <c r="E33" s="106">
        <v>0.0079</v>
      </c>
      <c r="F33" s="208">
        <v>0.0187</v>
      </c>
      <c r="G33" s="99">
        <v>0.0238</v>
      </c>
      <c r="H33" s="112"/>
      <c r="I33" s="116"/>
      <c r="J33" s="99"/>
      <c r="K33" s="106"/>
      <c r="L33" s="99">
        <v>0.078</v>
      </c>
      <c r="M33" s="106"/>
      <c r="N33" s="106">
        <v>0.009</v>
      </c>
      <c r="O33" s="99">
        <v>0.1932</v>
      </c>
      <c r="P33" s="8">
        <f t="shared" si="0"/>
        <v>0.6432</v>
      </c>
    </row>
    <row r="34" spans="1:16" ht="19.5" customHeight="1">
      <c r="A34" s="44" t="s">
        <v>40</v>
      </c>
      <c r="B34" s="383"/>
      <c r="C34" s="48" t="s">
        <v>18</v>
      </c>
      <c r="D34" s="107">
        <v>20.039</v>
      </c>
      <c r="E34" s="107">
        <v>0.945</v>
      </c>
      <c r="F34" s="209">
        <v>3.46</v>
      </c>
      <c r="G34" s="100">
        <v>2.182</v>
      </c>
      <c r="H34" s="111"/>
      <c r="I34" s="115"/>
      <c r="J34" s="100"/>
      <c r="K34" s="107"/>
      <c r="L34" s="100">
        <v>13.824</v>
      </c>
      <c r="M34" s="107"/>
      <c r="N34" s="118">
        <v>3.888</v>
      </c>
      <c r="O34" s="100">
        <v>39.99</v>
      </c>
      <c r="P34" s="9">
        <f t="shared" si="0"/>
        <v>84.328</v>
      </c>
    </row>
    <row r="35" spans="1:16" ht="19.5" customHeight="1">
      <c r="A35" s="50"/>
      <c r="B35" s="47" t="s">
        <v>20</v>
      </c>
      <c r="C35" s="54" t="s">
        <v>16</v>
      </c>
      <c r="D35" s="106"/>
      <c r="E35" s="106"/>
      <c r="F35" s="208"/>
      <c r="G35" s="99"/>
      <c r="H35" s="112"/>
      <c r="I35" s="114"/>
      <c r="J35" s="99"/>
      <c r="K35" s="106"/>
      <c r="L35" s="99"/>
      <c r="M35" s="106"/>
      <c r="N35" s="106">
        <v>0.003</v>
      </c>
      <c r="O35" s="99"/>
      <c r="P35" s="8">
        <f t="shared" si="0"/>
        <v>0.003</v>
      </c>
    </row>
    <row r="36" spans="1:16" ht="19.5" customHeight="1">
      <c r="A36" s="44" t="s">
        <v>23</v>
      </c>
      <c r="B36" s="48" t="s">
        <v>111</v>
      </c>
      <c r="C36" s="48" t="s">
        <v>18</v>
      </c>
      <c r="D36" s="107"/>
      <c r="E36" s="107"/>
      <c r="F36" s="209"/>
      <c r="G36" s="100"/>
      <c r="H36" s="111"/>
      <c r="I36" s="115"/>
      <c r="J36" s="100"/>
      <c r="K36" s="107"/>
      <c r="L36" s="100"/>
      <c r="M36" s="107"/>
      <c r="N36" s="107">
        <v>0.972</v>
      </c>
      <c r="O36" s="100"/>
      <c r="P36" s="9">
        <f t="shared" si="0"/>
        <v>0.972</v>
      </c>
    </row>
    <row r="37" spans="1:16" s="38" customFormat="1" ht="19.5" customHeight="1">
      <c r="A37" s="50"/>
      <c r="B37" s="380" t="s">
        <v>107</v>
      </c>
      <c r="C37" s="54" t="s">
        <v>16</v>
      </c>
      <c r="D37" s="5">
        <f aca="true" t="shared" si="10" ref="D37:L37">+D31+D33+D35</f>
        <v>16.2839</v>
      </c>
      <c r="E37" s="5">
        <f t="shared" si="10"/>
        <v>3.6443999999999996</v>
      </c>
      <c r="F37" s="5">
        <f t="shared" si="10"/>
        <v>2.8599</v>
      </c>
      <c r="G37" s="1">
        <f t="shared" si="10"/>
        <v>3.3784</v>
      </c>
      <c r="H37" s="1">
        <f t="shared" si="10"/>
        <v>0.5899</v>
      </c>
      <c r="I37" s="1">
        <f t="shared" si="10"/>
        <v>0.004</v>
      </c>
      <c r="J37" s="1">
        <f t="shared" si="10"/>
        <v>0.006</v>
      </c>
      <c r="K37" s="5"/>
      <c r="L37" s="5">
        <f t="shared" si="10"/>
        <v>0.6156999999999999</v>
      </c>
      <c r="M37" s="5">
        <f aca="true" t="shared" si="11" ref="M37:O38">+M31+M33+M35</f>
        <v>0.0712</v>
      </c>
      <c r="N37" s="5">
        <f t="shared" si="11"/>
        <v>0.39030000000000004</v>
      </c>
      <c r="O37" s="5">
        <f t="shared" si="11"/>
        <v>5.1134</v>
      </c>
      <c r="P37" s="8">
        <f>SUM(D37:O37)</f>
        <v>32.957100000000004</v>
      </c>
    </row>
    <row r="38" spans="1:16" s="38" customFormat="1" ht="19.5" customHeight="1">
      <c r="A38" s="49"/>
      <c r="B38" s="381"/>
      <c r="C38" s="48" t="s">
        <v>18</v>
      </c>
      <c r="D38" s="34">
        <f aca="true" t="shared" si="12" ref="D38:L38">+D32+D34+D36</f>
        <v>1504.4379999999999</v>
      </c>
      <c r="E38" s="34">
        <f t="shared" si="12"/>
        <v>569.94</v>
      </c>
      <c r="F38" s="34">
        <f t="shared" si="12"/>
        <v>364.78</v>
      </c>
      <c r="G38" s="2">
        <f t="shared" si="12"/>
        <v>391.61600000000004</v>
      </c>
      <c r="H38" s="2">
        <f t="shared" si="12"/>
        <v>49.395</v>
      </c>
      <c r="I38" s="2">
        <f t="shared" si="12"/>
        <v>0.54</v>
      </c>
      <c r="J38" s="2">
        <f t="shared" si="12"/>
        <v>0.065</v>
      </c>
      <c r="K38" s="34"/>
      <c r="L38" s="34">
        <f t="shared" si="12"/>
        <v>98.109</v>
      </c>
      <c r="M38" s="34">
        <f t="shared" si="11"/>
        <v>59.508</v>
      </c>
      <c r="N38" s="34">
        <f t="shared" si="11"/>
        <v>196.46400000000003</v>
      </c>
      <c r="O38" s="34">
        <f t="shared" si="11"/>
        <v>1118.207</v>
      </c>
      <c r="P38" s="9">
        <f>SUM(D38:O38)</f>
        <v>4353.061999999999</v>
      </c>
    </row>
    <row r="39" spans="1:16" ht="19.5" customHeight="1">
      <c r="A39" s="376" t="s">
        <v>41</v>
      </c>
      <c r="B39" s="377"/>
      <c r="C39" s="54" t="s">
        <v>16</v>
      </c>
      <c r="D39" s="106">
        <v>0.5491</v>
      </c>
      <c r="E39" s="106">
        <v>0.22</v>
      </c>
      <c r="F39" s="208">
        <v>0.135</v>
      </c>
      <c r="G39" s="99">
        <v>0.375</v>
      </c>
      <c r="H39" s="112">
        <v>0.206</v>
      </c>
      <c r="I39" s="114">
        <v>0.428</v>
      </c>
      <c r="J39" s="99">
        <v>0.2911</v>
      </c>
      <c r="K39" s="106">
        <v>0.6221</v>
      </c>
      <c r="L39" s="99">
        <v>0.234</v>
      </c>
      <c r="M39" s="106">
        <v>0.107</v>
      </c>
      <c r="N39" s="106">
        <v>0.1564</v>
      </c>
      <c r="O39" s="99">
        <v>0.0328</v>
      </c>
      <c r="P39" s="8">
        <f aca="true" t="shared" si="13" ref="P39:P54">SUM(D39:O39)</f>
        <v>3.3565000000000005</v>
      </c>
    </row>
    <row r="40" spans="1:16" ht="19.5" customHeight="1">
      <c r="A40" s="378"/>
      <c r="B40" s="379"/>
      <c r="C40" s="48" t="s">
        <v>18</v>
      </c>
      <c r="D40" s="107">
        <v>50.057</v>
      </c>
      <c r="E40" s="107">
        <v>78.75</v>
      </c>
      <c r="F40" s="209">
        <v>103.951</v>
      </c>
      <c r="G40" s="100">
        <v>257.85</v>
      </c>
      <c r="H40" s="111">
        <v>136.09</v>
      </c>
      <c r="I40" s="115">
        <v>166.374</v>
      </c>
      <c r="J40" s="100">
        <v>173.323</v>
      </c>
      <c r="K40" s="107">
        <v>302.548</v>
      </c>
      <c r="L40" s="100">
        <v>74.213</v>
      </c>
      <c r="M40" s="107">
        <v>52.03</v>
      </c>
      <c r="N40" s="118">
        <v>96.956</v>
      </c>
      <c r="O40" s="100">
        <v>19.094</v>
      </c>
      <c r="P40" s="9">
        <f t="shared" si="13"/>
        <v>1511.236</v>
      </c>
    </row>
    <row r="41" spans="1:16" ht="19.5" customHeight="1">
      <c r="A41" s="376" t="s">
        <v>42</v>
      </c>
      <c r="B41" s="377"/>
      <c r="C41" s="54" t="s">
        <v>16</v>
      </c>
      <c r="D41" s="106"/>
      <c r="E41" s="106">
        <v>0.0553</v>
      </c>
      <c r="F41" s="208"/>
      <c r="G41" s="99"/>
      <c r="H41" s="112">
        <v>0.6932</v>
      </c>
      <c r="I41" s="114">
        <v>0.7747</v>
      </c>
      <c r="J41" s="99">
        <v>0.2128</v>
      </c>
      <c r="K41" s="106"/>
      <c r="L41" s="99">
        <v>0.0217</v>
      </c>
      <c r="M41" s="106">
        <v>0.2921</v>
      </c>
      <c r="N41" s="106">
        <v>0.0484</v>
      </c>
      <c r="O41" s="99">
        <v>0.2705</v>
      </c>
      <c r="P41" s="8">
        <f t="shared" si="13"/>
        <v>2.3687000000000005</v>
      </c>
    </row>
    <row r="42" spans="1:16" ht="19.5" customHeight="1">
      <c r="A42" s="378"/>
      <c r="B42" s="379"/>
      <c r="C42" s="48" t="s">
        <v>18</v>
      </c>
      <c r="D42" s="107"/>
      <c r="E42" s="107">
        <v>56.913</v>
      </c>
      <c r="F42" s="209"/>
      <c r="G42" s="100"/>
      <c r="H42" s="111">
        <v>37.98</v>
      </c>
      <c r="I42" s="32">
        <v>26.294</v>
      </c>
      <c r="J42" s="100">
        <v>57.417</v>
      </c>
      <c r="K42" s="107"/>
      <c r="L42" s="100">
        <v>13.905</v>
      </c>
      <c r="M42" s="107">
        <v>183.644</v>
      </c>
      <c r="N42" s="118">
        <v>53.84</v>
      </c>
      <c r="O42" s="100">
        <v>293.971</v>
      </c>
      <c r="P42" s="9">
        <f t="shared" si="13"/>
        <v>723.964</v>
      </c>
    </row>
    <row r="43" spans="1:16" ht="19.5" customHeight="1">
      <c r="A43" s="376" t="s">
        <v>43</v>
      </c>
      <c r="B43" s="377"/>
      <c r="C43" s="54" t="s">
        <v>16</v>
      </c>
      <c r="D43" s="106"/>
      <c r="E43" s="106"/>
      <c r="F43" s="208"/>
      <c r="G43" s="99"/>
      <c r="H43" s="112"/>
      <c r="I43" s="116"/>
      <c r="J43" s="99"/>
      <c r="K43" s="106"/>
      <c r="L43" s="99"/>
      <c r="M43" s="106"/>
      <c r="N43" s="106"/>
      <c r="O43" s="99"/>
      <c r="P43" s="8"/>
    </row>
    <row r="44" spans="1:16" ht="19.5" customHeight="1">
      <c r="A44" s="378"/>
      <c r="B44" s="379"/>
      <c r="C44" s="48" t="s">
        <v>18</v>
      </c>
      <c r="D44" s="107"/>
      <c r="E44" s="107"/>
      <c r="F44" s="209"/>
      <c r="G44" s="100"/>
      <c r="H44" s="111"/>
      <c r="I44" s="115"/>
      <c r="J44" s="100"/>
      <c r="K44" s="107"/>
      <c r="L44" s="100"/>
      <c r="M44" s="107"/>
      <c r="N44" s="107"/>
      <c r="O44" s="100"/>
      <c r="P44" s="9"/>
    </row>
    <row r="45" spans="1:16" ht="19.5" customHeight="1">
      <c r="A45" s="376" t="s">
        <v>44</v>
      </c>
      <c r="B45" s="377"/>
      <c r="C45" s="54" t="s">
        <v>16</v>
      </c>
      <c r="D45" s="106">
        <v>0.001</v>
      </c>
      <c r="E45" s="106"/>
      <c r="F45" s="208">
        <v>0.0008</v>
      </c>
      <c r="G45" s="99"/>
      <c r="H45" s="112">
        <v>0.003</v>
      </c>
      <c r="I45" s="114"/>
      <c r="J45" s="99"/>
      <c r="K45" s="106"/>
      <c r="L45" s="99"/>
      <c r="M45" s="106"/>
      <c r="N45" s="106"/>
      <c r="O45" s="99"/>
      <c r="P45" s="8">
        <f t="shared" si="13"/>
        <v>0.0048000000000000004</v>
      </c>
    </row>
    <row r="46" spans="1:16" ht="19.5" customHeight="1">
      <c r="A46" s="378"/>
      <c r="B46" s="379"/>
      <c r="C46" s="48" t="s">
        <v>18</v>
      </c>
      <c r="D46" s="107">
        <v>0.525</v>
      </c>
      <c r="E46" s="107"/>
      <c r="F46" s="209">
        <v>1.68</v>
      </c>
      <c r="G46" s="100"/>
      <c r="H46" s="111">
        <v>0.648</v>
      </c>
      <c r="I46" s="32"/>
      <c r="J46" s="100"/>
      <c r="K46" s="107"/>
      <c r="L46" s="100"/>
      <c r="M46" s="107"/>
      <c r="N46" s="118"/>
      <c r="O46" s="100"/>
      <c r="P46" s="9">
        <f t="shared" si="13"/>
        <v>2.853</v>
      </c>
    </row>
    <row r="47" spans="1:16" ht="19.5" customHeight="1">
      <c r="A47" s="376" t="s">
        <v>45</v>
      </c>
      <c r="B47" s="377"/>
      <c r="C47" s="54" t="s">
        <v>16</v>
      </c>
      <c r="D47" s="106"/>
      <c r="E47" s="106">
        <v>0.03</v>
      </c>
      <c r="F47" s="208">
        <v>0.0047</v>
      </c>
      <c r="G47" s="99"/>
      <c r="H47" s="112"/>
      <c r="I47" s="116"/>
      <c r="J47" s="99"/>
      <c r="K47" s="106"/>
      <c r="L47" s="99"/>
      <c r="M47" s="106"/>
      <c r="N47" s="106"/>
      <c r="O47" s="99"/>
      <c r="P47" s="8">
        <f t="shared" si="13"/>
        <v>0.0347</v>
      </c>
    </row>
    <row r="48" spans="1:16" ht="19.5" customHeight="1">
      <c r="A48" s="378"/>
      <c r="B48" s="379"/>
      <c r="C48" s="48" t="s">
        <v>18</v>
      </c>
      <c r="D48" s="107"/>
      <c r="E48" s="107">
        <v>20.476</v>
      </c>
      <c r="F48" s="209">
        <v>1.743</v>
      </c>
      <c r="G48" s="100"/>
      <c r="H48" s="111"/>
      <c r="I48" s="33"/>
      <c r="J48" s="100"/>
      <c r="K48" s="107"/>
      <c r="L48" s="100"/>
      <c r="M48" s="107"/>
      <c r="N48" s="107"/>
      <c r="O48" s="100"/>
      <c r="P48" s="9">
        <f t="shared" si="13"/>
        <v>22.218999999999998</v>
      </c>
    </row>
    <row r="49" spans="1:16" ht="19.5" customHeight="1">
      <c r="A49" s="376" t="s">
        <v>46</v>
      </c>
      <c r="B49" s="377"/>
      <c r="C49" s="54" t="s">
        <v>16</v>
      </c>
      <c r="D49" s="106">
        <v>0.3415</v>
      </c>
      <c r="E49" s="106">
        <v>0.015</v>
      </c>
      <c r="F49" s="208">
        <v>0.13</v>
      </c>
      <c r="G49" s="99">
        <v>0.306</v>
      </c>
      <c r="H49" s="112">
        <v>4.079</v>
      </c>
      <c r="I49" s="114">
        <v>15.8357</v>
      </c>
      <c r="J49" s="99">
        <v>180.033</v>
      </c>
      <c r="K49" s="106">
        <v>203.8939</v>
      </c>
      <c r="L49" s="99">
        <v>185.074</v>
      </c>
      <c r="M49" s="106">
        <v>43.5425</v>
      </c>
      <c r="N49" s="106">
        <v>116.9996</v>
      </c>
      <c r="O49" s="99">
        <v>0.0388</v>
      </c>
      <c r="P49" s="8">
        <f t="shared" si="13"/>
        <v>750.2890000000001</v>
      </c>
    </row>
    <row r="50" spans="1:16" ht="19.5" customHeight="1">
      <c r="A50" s="378"/>
      <c r="B50" s="379"/>
      <c r="C50" s="48" t="s">
        <v>18</v>
      </c>
      <c r="D50" s="107">
        <v>94.605</v>
      </c>
      <c r="E50" s="107">
        <v>9.45</v>
      </c>
      <c r="F50" s="209">
        <v>45.885</v>
      </c>
      <c r="G50" s="100">
        <v>53.222</v>
      </c>
      <c r="H50" s="111">
        <v>175.066</v>
      </c>
      <c r="I50" s="32">
        <v>635.505</v>
      </c>
      <c r="J50" s="100">
        <v>12820.324</v>
      </c>
      <c r="K50" s="107">
        <v>15384.601</v>
      </c>
      <c r="L50" s="100">
        <v>14777.908</v>
      </c>
      <c r="M50" s="107">
        <v>3290.74</v>
      </c>
      <c r="N50" s="118">
        <v>10544.209</v>
      </c>
      <c r="O50" s="100">
        <v>12.787</v>
      </c>
      <c r="P50" s="9">
        <f t="shared" si="13"/>
        <v>57844.302</v>
      </c>
    </row>
    <row r="51" spans="1:16" ht="19.5" customHeight="1">
      <c r="A51" s="376" t="s">
        <v>47</v>
      </c>
      <c r="B51" s="377"/>
      <c r="C51" s="54" t="s">
        <v>16</v>
      </c>
      <c r="D51" s="106">
        <v>0.06</v>
      </c>
      <c r="E51" s="106">
        <v>0.103</v>
      </c>
      <c r="F51" s="208">
        <v>0.372</v>
      </c>
      <c r="G51" s="99">
        <v>0.041</v>
      </c>
      <c r="H51" s="112">
        <v>0.092</v>
      </c>
      <c r="I51" s="116">
        <v>0.07</v>
      </c>
      <c r="J51" s="99">
        <v>0.11</v>
      </c>
      <c r="K51" s="106">
        <v>0.05</v>
      </c>
      <c r="L51" s="99">
        <v>16.035</v>
      </c>
      <c r="M51" s="106">
        <v>9.092</v>
      </c>
      <c r="N51" s="106">
        <v>5.321</v>
      </c>
      <c r="O51" s="99">
        <v>1.176</v>
      </c>
      <c r="P51" s="8">
        <f t="shared" si="13"/>
        <v>32.522</v>
      </c>
    </row>
    <row r="52" spans="1:16" ht="19.5" customHeight="1">
      <c r="A52" s="378"/>
      <c r="B52" s="379"/>
      <c r="C52" s="48" t="s">
        <v>18</v>
      </c>
      <c r="D52" s="107">
        <v>50.61</v>
      </c>
      <c r="E52" s="107">
        <v>88.935</v>
      </c>
      <c r="F52" s="209">
        <v>180.46</v>
      </c>
      <c r="G52" s="100">
        <v>37.044</v>
      </c>
      <c r="H52" s="111">
        <v>72.9</v>
      </c>
      <c r="I52" s="115">
        <v>52.92</v>
      </c>
      <c r="J52" s="100">
        <v>98.28</v>
      </c>
      <c r="K52" s="107">
        <v>42.66</v>
      </c>
      <c r="L52" s="100">
        <v>9452.758</v>
      </c>
      <c r="M52" s="107">
        <v>3983.344</v>
      </c>
      <c r="N52" s="118">
        <v>2019.247</v>
      </c>
      <c r="O52" s="100">
        <v>353.095</v>
      </c>
      <c r="P52" s="9">
        <f t="shared" si="13"/>
        <v>16432.253</v>
      </c>
    </row>
    <row r="53" spans="1:16" ht="19.5" customHeight="1">
      <c r="A53" s="376" t="s">
        <v>48</v>
      </c>
      <c r="B53" s="377"/>
      <c r="C53" s="54" t="s">
        <v>16</v>
      </c>
      <c r="D53" s="106"/>
      <c r="E53" s="106"/>
      <c r="F53" s="208">
        <v>0.0285</v>
      </c>
      <c r="G53" s="99">
        <v>0.0751</v>
      </c>
      <c r="H53" s="112">
        <v>0.0433</v>
      </c>
      <c r="I53" s="114"/>
      <c r="J53" s="99">
        <v>0.0023</v>
      </c>
      <c r="K53" s="106">
        <v>0.0125</v>
      </c>
      <c r="L53" s="99">
        <v>1.3066</v>
      </c>
      <c r="M53" s="106">
        <v>6.6076</v>
      </c>
      <c r="N53" s="106">
        <v>1.0442</v>
      </c>
      <c r="O53" s="99"/>
      <c r="P53" s="8">
        <f t="shared" si="13"/>
        <v>9.120099999999999</v>
      </c>
    </row>
    <row r="54" spans="1:16" ht="19.5" customHeight="1">
      <c r="A54" s="378"/>
      <c r="B54" s="379"/>
      <c r="C54" s="48" t="s">
        <v>18</v>
      </c>
      <c r="D54" s="107"/>
      <c r="E54" s="107"/>
      <c r="F54" s="209">
        <v>29.82</v>
      </c>
      <c r="G54" s="100">
        <v>107.394</v>
      </c>
      <c r="H54" s="111">
        <v>55.048</v>
      </c>
      <c r="I54" s="115"/>
      <c r="J54" s="100">
        <v>2.981</v>
      </c>
      <c r="K54" s="107">
        <v>18.225</v>
      </c>
      <c r="L54" s="100">
        <v>574.438</v>
      </c>
      <c r="M54" s="107">
        <v>2770.862</v>
      </c>
      <c r="N54" s="118">
        <v>482.602</v>
      </c>
      <c r="O54" s="100"/>
      <c r="P54" s="9">
        <f t="shared" si="13"/>
        <v>4041.37</v>
      </c>
    </row>
    <row r="55" spans="1:16" ht="19.5" customHeight="1">
      <c r="A55" s="44" t="s">
        <v>0</v>
      </c>
      <c r="B55" s="382" t="s">
        <v>132</v>
      </c>
      <c r="C55" s="54" t="s">
        <v>16</v>
      </c>
      <c r="D55" s="106"/>
      <c r="E55" s="106"/>
      <c r="F55" s="208"/>
      <c r="G55" s="99"/>
      <c r="H55" s="112"/>
      <c r="I55" s="114"/>
      <c r="J55" s="99"/>
      <c r="K55" s="106"/>
      <c r="L55" s="99"/>
      <c r="M55" s="106"/>
      <c r="N55" s="106"/>
      <c r="O55" s="99"/>
      <c r="P55" s="8"/>
    </row>
    <row r="56" spans="1:16" ht="19.5" customHeight="1">
      <c r="A56" s="44" t="s">
        <v>38</v>
      </c>
      <c r="B56" s="383"/>
      <c r="C56" s="48" t="s">
        <v>18</v>
      </c>
      <c r="D56" s="107"/>
      <c r="E56" s="107"/>
      <c r="F56" s="209"/>
      <c r="G56" s="100"/>
      <c r="H56" s="111"/>
      <c r="I56" s="32"/>
      <c r="J56" s="100"/>
      <c r="K56" s="107"/>
      <c r="L56" s="100"/>
      <c r="M56" s="107"/>
      <c r="N56" s="118"/>
      <c r="O56" s="100"/>
      <c r="P56" s="9"/>
    </row>
    <row r="57" spans="1:16" ht="19.5" customHeight="1">
      <c r="A57" s="44" t="s">
        <v>17</v>
      </c>
      <c r="B57" s="47" t="s">
        <v>20</v>
      </c>
      <c r="C57" s="54" t="s">
        <v>16</v>
      </c>
      <c r="D57" s="106">
        <v>0.0052</v>
      </c>
      <c r="E57" s="106">
        <v>0.1756</v>
      </c>
      <c r="F57" s="208">
        <v>0.0028</v>
      </c>
      <c r="G57" s="99">
        <v>0.02</v>
      </c>
      <c r="H57" s="112">
        <v>0.0789</v>
      </c>
      <c r="I57" s="153">
        <v>0.1831</v>
      </c>
      <c r="J57" s="99">
        <v>0.3178</v>
      </c>
      <c r="K57" s="106">
        <v>0.3646</v>
      </c>
      <c r="L57" s="99">
        <v>0.3578</v>
      </c>
      <c r="M57" s="106">
        <v>0.4615</v>
      </c>
      <c r="N57" s="106">
        <v>0.0826</v>
      </c>
      <c r="O57" s="99">
        <v>0.1029</v>
      </c>
      <c r="P57" s="8">
        <f aca="true" t="shared" si="14" ref="P57:P68">SUM(D57:O57)</f>
        <v>2.1528</v>
      </c>
    </row>
    <row r="58" spans="1:16" ht="19.5" customHeight="1">
      <c r="A58" s="44" t="s">
        <v>23</v>
      </c>
      <c r="B58" s="48" t="s">
        <v>113</v>
      </c>
      <c r="C58" s="48" t="s">
        <v>18</v>
      </c>
      <c r="D58" s="107">
        <v>5.46</v>
      </c>
      <c r="E58" s="107">
        <v>80.958</v>
      </c>
      <c r="F58" s="209">
        <v>2.94</v>
      </c>
      <c r="G58" s="100">
        <v>26.428</v>
      </c>
      <c r="H58" s="111">
        <v>55.156</v>
      </c>
      <c r="I58" s="154">
        <v>96.974</v>
      </c>
      <c r="J58" s="100">
        <v>203.871</v>
      </c>
      <c r="K58" s="107">
        <v>180.119</v>
      </c>
      <c r="L58" s="100">
        <v>159.914</v>
      </c>
      <c r="M58" s="107">
        <v>152.473</v>
      </c>
      <c r="N58" s="118">
        <v>58.32</v>
      </c>
      <c r="O58" s="100">
        <v>48.153</v>
      </c>
      <c r="P58" s="9">
        <f t="shared" si="14"/>
        <v>1070.766</v>
      </c>
    </row>
    <row r="59" spans="1:16" s="38" customFormat="1" ht="19.5" customHeight="1">
      <c r="A59" s="50"/>
      <c r="B59" s="380" t="s">
        <v>107</v>
      </c>
      <c r="C59" s="54" t="s">
        <v>16</v>
      </c>
      <c r="D59" s="5">
        <f aca="true" t="shared" si="15" ref="D59:L59">+D55+D57</f>
        <v>0.0052</v>
      </c>
      <c r="E59" s="5">
        <f t="shared" si="15"/>
        <v>0.1756</v>
      </c>
      <c r="F59" s="5">
        <f t="shared" si="15"/>
        <v>0.0028</v>
      </c>
      <c r="G59" s="1">
        <f t="shared" si="15"/>
        <v>0.02</v>
      </c>
      <c r="H59" s="1">
        <f t="shared" si="15"/>
        <v>0.0789</v>
      </c>
      <c r="I59" s="1">
        <f t="shared" si="15"/>
        <v>0.1831</v>
      </c>
      <c r="J59" s="1">
        <f t="shared" si="15"/>
        <v>0.3178</v>
      </c>
      <c r="K59" s="5">
        <f t="shared" si="15"/>
        <v>0.3646</v>
      </c>
      <c r="L59" s="5">
        <f t="shared" si="15"/>
        <v>0.3578</v>
      </c>
      <c r="M59" s="5">
        <f aca="true" t="shared" si="16" ref="M59:O60">+M55+M57</f>
        <v>0.4615</v>
      </c>
      <c r="N59" s="5">
        <f t="shared" si="16"/>
        <v>0.0826</v>
      </c>
      <c r="O59" s="5">
        <f t="shared" si="16"/>
        <v>0.1029</v>
      </c>
      <c r="P59" s="8">
        <f>SUM(D59:O59)</f>
        <v>2.1528</v>
      </c>
    </row>
    <row r="60" spans="1:16" s="38" customFormat="1" ht="19.5" customHeight="1">
      <c r="A60" s="49"/>
      <c r="B60" s="381"/>
      <c r="C60" s="48" t="s">
        <v>18</v>
      </c>
      <c r="D60" s="34">
        <f aca="true" t="shared" si="17" ref="D60:L60">+D56+D58</f>
        <v>5.46</v>
      </c>
      <c r="E60" s="34">
        <f t="shared" si="17"/>
        <v>80.958</v>
      </c>
      <c r="F60" s="34">
        <f t="shared" si="17"/>
        <v>2.94</v>
      </c>
      <c r="G60" s="2">
        <f t="shared" si="17"/>
        <v>26.428</v>
      </c>
      <c r="H60" s="2">
        <f t="shared" si="17"/>
        <v>55.156</v>
      </c>
      <c r="I60" s="2">
        <f t="shared" si="17"/>
        <v>96.974</v>
      </c>
      <c r="J60" s="2">
        <f t="shared" si="17"/>
        <v>203.871</v>
      </c>
      <c r="K60" s="34">
        <f t="shared" si="17"/>
        <v>180.119</v>
      </c>
      <c r="L60" s="34">
        <f t="shared" si="17"/>
        <v>159.914</v>
      </c>
      <c r="M60" s="34">
        <f t="shared" si="16"/>
        <v>152.473</v>
      </c>
      <c r="N60" s="34">
        <f t="shared" si="16"/>
        <v>58.32</v>
      </c>
      <c r="O60" s="34">
        <f t="shared" si="16"/>
        <v>48.153</v>
      </c>
      <c r="P60" s="9">
        <f>SUM(D60:O60)</f>
        <v>1070.766</v>
      </c>
    </row>
    <row r="61" spans="1:16" ht="19.5" customHeight="1">
      <c r="A61" s="44" t="s">
        <v>0</v>
      </c>
      <c r="B61" s="382" t="s">
        <v>115</v>
      </c>
      <c r="C61" s="54" t="s">
        <v>16</v>
      </c>
      <c r="D61" s="106">
        <v>11.61</v>
      </c>
      <c r="E61" s="106"/>
      <c r="F61" s="208"/>
      <c r="G61" s="99">
        <v>11.29</v>
      </c>
      <c r="H61" s="112"/>
      <c r="I61" s="114"/>
      <c r="J61" s="99"/>
      <c r="K61" s="106"/>
      <c r="L61" s="99"/>
      <c r="M61" s="106"/>
      <c r="N61" s="106"/>
      <c r="O61" s="99">
        <v>7.398</v>
      </c>
      <c r="P61" s="8">
        <f t="shared" si="14"/>
        <v>30.298</v>
      </c>
    </row>
    <row r="62" spans="1:16" ht="19.5" customHeight="1">
      <c r="A62" s="44" t="s">
        <v>49</v>
      </c>
      <c r="B62" s="383"/>
      <c r="C62" s="48" t="s">
        <v>18</v>
      </c>
      <c r="D62" s="107">
        <v>476.659</v>
      </c>
      <c r="E62" s="107"/>
      <c r="F62" s="209"/>
      <c r="G62" s="100">
        <v>570.888</v>
      </c>
      <c r="H62" s="111"/>
      <c r="I62" s="115"/>
      <c r="J62" s="100"/>
      <c r="K62" s="107"/>
      <c r="L62" s="100"/>
      <c r="M62" s="107"/>
      <c r="N62" s="118"/>
      <c r="O62" s="100">
        <v>580.014</v>
      </c>
      <c r="P62" s="9">
        <f t="shared" si="14"/>
        <v>1627.5610000000001</v>
      </c>
    </row>
    <row r="63" spans="1:16" ht="19.5" customHeight="1">
      <c r="A63" s="44" t="s">
        <v>0</v>
      </c>
      <c r="B63" s="47" t="s">
        <v>50</v>
      </c>
      <c r="C63" s="54" t="s">
        <v>16</v>
      </c>
      <c r="D63" s="106">
        <v>17.24</v>
      </c>
      <c r="E63" s="106">
        <v>4.19</v>
      </c>
      <c r="F63" s="208">
        <v>4.13</v>
      </c>
      <c r="G63" s="99">
        <v>12.09</v>
      </c>
      <c r="H63" s="112">
        <v>9.03</v>
      </c>
      <c r="I63" s="114">
        <v>1.9</v>
      </c>
      <c r="J63" s="99">
        <v>12.49</v>
      </c>
      <c r="K63" s="106">
        <v>13.18</v>
      </c>
      <c r="L63" s="99">
        <v>36.64</v>
      </c>
      <c r="M63" s="106">
        <v>47.17</v>
      </c>
      <c r="N63" s="106">
        <v>33.9</v>
      </c>
      <c r="O63" s="99">
        <v>24.93</v>
      </c>
      <c r="P63" s="8">
        <f t="shared" si="14"/>
        <v>216.89000000000001</v>
      </c>
    </row>
    <row r="64" spans="1:16" ht="19.5" customHeight="1">
      <c r="A64" s="44" t="s">
        <v>51</v>
      </c>
      <c r="B64" s="48" t="s">
        <v>116</v>
      </c>
      <c r="C64" s="48" t="s">
        <v>18</v>
      </c>
      <c r="D64" s="107">
        <v>1438.71</v>
      </c>
      <c r="E64" s="107">
        <v>346.185</v>
      </c>
      <c r="F64" s="209">
        <v>339.833</v>
      </c>
      <c r="G64" s="100">
        <v>1044.576</v>
      </c>
      <c r="H64" s="111">
        <v>780.192</v>
      </c>
      <c r="I64" s="32">
        <v>151.2</v>
      </c>
      <c r="J64" s="100">
        <v>1060.236</v>
      </c>
      <c r="K64" s="107">
        <v>1138.752</v>
      </c>
      <c r="L64" s="100">
        <v>3165.696</v>
      </c>
      <c r="M64" s="107">
        <v>4015.548</v>
      </c>
      <c r="N64" s="118">
        <v>2547.18</v>
      </c>
      <c r="O64" s="100">
        <v>1884.708</v>
      </c>
      <c r="P64" s="9">
        <f t="shared" si="14"/>
        <v>17912.816</v>
      </c>
    </row>
    <row r="65" spans="1:16" ht="19.5" customHeight="1">
      <c r="A65" s="44" t="s">
        <v>0</v>
      </c>
      <c r="B65" s="382" t="s">
        <v>53</v>
      </c>
      <c r="C65" s="54" t="s">
        <v>16</v>
      </c>
      <c r="D65" s="106"/>
      <c r="E65" s="106"/>
      <c r="F65" s="208"/>
      <c r="G65" s="99">
        <v>0.024</v>
      </c>
      <c r="H65" s="112">
        <v>0.076</v>
      </c>
      <c r="I65" s="116"/>
      <c r="J65" s="99"/>
      <c r="K65" s="106"/>
      <c r="L65" s="99"/>
      <c r="M65" s="106"/>
      <c r="N65" s="106"/>
      <c r="O65" s="99"/>
      <c r="P65" s="8">
        <f t="shared" si="14"/>
        <v>0.1</v>
      </c>
    </row>
    <row r="66" spans="1:16" ht="19.5" customHeight="1">
      <c r="A66" s="44" t="s">
        <v>23</v>
      </c>
      <c r="B66" s="383"/>
      <c r="C66" s="48" t="s">
        <v>18</v>
      </c>
      <c r="D66" s="107"/>
      <c r="E66" s="107"/>
      <c r="F66" s="209"/>
      <c r="G66" s="100">
        <v>0.518</v>
      </c>
      <c r="H66" s="111">
        <v>8.208</v>
      </c>
      <c r="I66" s="115"/>
      <c r="J66" s="100"/>
      <c r="K66" s="107"/>
      <c r="L66" s="100"/>
      <c r="M66" s="107"/>
      <c r="N66" s="107"/>
      <c r="O66" s="100"/>
      <c r="P66" s="9">
        <f t="shared" si="14"/>
        <v>8.726</v>
      </c>
    </row>
    <row r="67" spans="1:16" ht="19.5" customHeight="1">
      <c r="A67" s="50"/>
      <c r="B67" s="47" t="s">
        <v>20</v>
      </c>
      <c r="C67" s="54" t="s">
        <v>16</v>
      </c>
      <c r="D67" s="106">
        <v>0.285</v>
      </c>
      <c r="E67" s="106">
        <v>0.222</v>
      </c>
      <c r="F67" s="208">
        <v>0.288</v>
      </c>
      <c r="G67" s="99">
        <v>0.3453</v>
      </c>
      <c r="H67" s="112">
        <v>0.411</v>
      </c>
      <c r="I67" s="114">
        <v>0.208</v>
      </c>
      <c r="J67" s="99">
        <v>0.198</v>
      </c>
      <c r="K67" s="106">
        <v>0.209</v>
      </c>
      <c r="L67" s="99">
        <v>0.078</v>
      </c>
      <c r="M67" s="106">
        <v>0.146</v>
      </c>
      <c r="N67" s="106">
        <v>0.06</v>
      </c>
      <c r="O67" s="99">
        <v>0.259</v>
      </c>
      <c r="P67" s="8">
        <f t="shared" si="14"/>
        <v>2.7092999999999994</v>
      </c>
    </row>
    <row r="68" spans="1:16" ht="19.5" customHeight="1" thickBot="1">
      <c r="A68" s="51" t="s">
        <v>0</v>
      </c>
      <c r="B68" s="52" t="s">
        <v>116</v>
      </c>
      <c r="C68" s="52" t="s">
        <v>18</v>
      </c>
      <c r="D68" s="108">
        <v>2.111</v>
      </c>
      <c r="E68" s="108">
        <v>10.648</v>
      </c>
      <c r="F68" s="210">
        <v>6.084</v>
      </c>
      <c r="G68" s="101">
        <v>19.838</v>
      </c>
      <c r="H68" s="113">
        <v>16.347</v>
      </c>
      <c r="I68" s="32">
        <v>1.36</v>
      </c>
      <c r="J68" s="101">
        <v>9.995</v>
      </c>
      <c r="K68" s="108">
        <v>8.975</v>
      </c>
      <c r="L68" s="101">
        <v>6.026</v>
      </c>
      <c r="M68" s="108">
        <v>7.312</v>
      </c>
      <c r="N68" s="108">
        <v>6.156</v>
      </c>
      <c r="O68" s="101">
        <v>11.124</v>
      </c>
      <c r="P68" s="10">
        <f t="shared" si="14"/>
        <v>105.97599999999998</v>
      </c>
    </row>
    <row r="69" spans="4:16" ht="19.5" customHeight="1">
      <c r="D69" s="231"/>
      <c r="E69" s="231"/>
      <c r="F69" s="24"/>
      <c r="G69" s="232"/>
      <c r="H69" s="232"/>
      <c r="I69" s="234"/>
      <c r="J69" s="232"/>
      <c r="K69" s="231"/>
      <c r="L69" s="232"/>
      <c r="M69" s="231"/>
      <c r="N69" s="231"/>
      <c r="O69" s="232"/>
      <c r="P69" s="11"/>
    </row>
    <row r="70" spans="4:16" ht="19.5" customHeight="1">
      <c r="D70" s="231"/>
      <c r="E70" s="231"/>
      <c r="F70" s="24"/>
      <c r="G70" s="232"/>
      <c r="H70" s="232"/>
      <c r="I70" s="232"/>
      <c r="J70" s="232"/>
      <c r="K70" s="231"/>
      <c r="L70" s="232"/>
      <c r="M70" s="231"/>
      <c r="N70" s="231"/>
      <c r="O70" s="232"/>
      <c r="P70" s="11"/>
    </row>
    <row r="71" spans="4:16" ht="19.5" customHeight="1">
      <c r="D71" s="231"/>
      <c r="E71" s="231"/>
      <c r="F71" s="24"/>
      <c r="G71" s="232"/>
      <c r="H71" s="232"/>
      <c r="I71" s="232"/>
      <c r="J71" s="232"/>
      <c r="K71" s="231"/>
      <c r="L71" s="232"/>
      <c r="M71" s="231"/>
      <c r="N71" s="231"/>
      <c r="O71" s="232"/>
      <c r="P71" s="11"/>
    </row>
    <row r="72" spans="4:16" ht="19.5" customHeight="1">
      <c r="D72" s="231"/>
      <c r="E72" s="231"/>
      <c r="F72" s="24"/>
      <c r="G72" s="232"/>
      <c r="H72" s="232"/>
      <c r="I72" s="232"/>
      <c r="J72" s="232"/>
      <c r="K72" s="231"/>
      <c r="L72" s="232"/>
      <c r="M72" s="231"/>
      <c r="N72" s="231"/>
      <c r="O72" s="232"/>
      <c r="P72" s="11"/>
    </row>
    <row r="73" spans="4:16" ht="19.5" customHeight="1">
      <c r="D73" s="231"/>
      <c r="E73" s="231"/>
      <c r="F73" s="24"/>
      <c r="G73" s="232"/>
      <c r="H73" s="232"/>
      <c r="I73" s="232"/>
      <c r="J73" s="232"/>
      <c r="K73" s="231"/>
      <c r="L73" s="232"/>
      <c r="M73" s="231"/>
      <c r="N73" s="231"/>
      <c r="O73" s="232"/>
      <c r="P73" s="11"/>
    </row>
    <row r="74" spans="1:16" ht="19.5" customHeight="1" thickBot="1">
      <c r="A74" s="12"/>
      <c r="B74" s="39" t="s">
        <v>80</v>
      </c>
      <c r="C74" s="12"/>
      <c r="D74" s="235"/>
      <c r="E74" s="235"/>
      <c r="F74" s="275"/>
      <c r="G74" s="120"/>
      <c r="H74" s="120"/>
      <c r="I74" s="120"/>
      <c r="J74" s="120"/>
      <c r="K74" s="235"/>
      <c r="L74" s="120"/>
      <c r="M74" s="235"/>
      <c r="N74" s="235"/>
      <c r="O74" s="120"/>
      <c r="P74" s="12"/>
    </row>
    <row r="75" spans="1:16" ht="19.5" customHeight="1">
      <c r="A75" s="49"/>
      <c r="B75" s="53"/>
      <c r="C75" s="53"/>
      <c r="D75" s="236" t="s">
        <v>2</v>
      </c>
      <c r="E75" s="236" t="s">
        <v>3</v>
      </c>
      <c r="F75" s="276" t="s">
        <v>4</v>
      </c>
      <c r="G75" s="237" t="s">
        <v>5</v>
      </c>
      <c r="H75" s="277" t="s">
        <v>6</v>
      </c>
      <c r="I75" s="278" t="s">
        <v>7</v>
      </c>
      <c r="J75" s="237" t="s">
        <v>8</v>
      </c>
      <c r="K75" s="236" t="s">
        <v>9</v>
      </c>
      <c r="L75" s="237" t="s">
        <v>10</v>
      </c>
      <c r="M75" s="236" t="s">
        <v>11</v>
      </c>
      <c r="N75" s="236" t="s">
        <v>12</v>
      </c>
      <c r="O75" s="237" t="s">
        <v>13</v>
      </c>
      <c r="P75" s="43" t="s">
        <v>14</v>
      </c>
    </row>
    <row r="76" spans="1:16" s="38" customFormat="1" ht="19.5" customHeight="1">
      <c r="A76" s="44" t="s">
        <v>49</v>
      </c>
      <c r="B76" s="380" t="s">
        <v>114</v>
      </c>
      <c r="C76" s="54" t="s">
        <v>16</v>
      </c>
      <c r="D76" s="5">
        <f aca="true" t="shared" si="18" ref="D76:L76">+D61+D63+D65+D67</f>
        <v>29.134999999999998</v>
      </c>
      <c r="E76" s="5">
        <f t="shared" si="18"/>
        <v>4.412000000000001</v>
      </c>
      <c r="F76" s="5">
        <f t="shared" si="18"/>
        <v>4.418</v>
      </c>
      <c r="G76" s="1">
        <f t="shared" si="18"/>
        <v>23.7493</v>
      </c>
      <c r="H76" s="1">
        <f t="shared" si="18"/>
        <v>9.517</v>
      </c>
      <c r="I76" s="1">
        <f t="shared" si="18"/>
        <v>2.108</v>
      </c>
      <c r="J76" s="1">
        <f t="shared" si="18"/>
        <v>12.688</v>
      </c>
      <c r="K76" s="5">
        <f t="shared" si="18"/>
        <v>13.389</v>
      </c>
      <c r="L76" s="5">
        <f t="shared" si="18"/>
        <v>36.718</v>
      </c>
      <c r="M76" s="5">
        <f aca="true" t="shared" si="19" ref="M76:P77">+M61+M63+M65+M67</f>
        <v>47.316</v>
      </c>
      <c r="N76" s="5">
        <f t="shared" si="19"/>
        <v>33.96</v>
      </c>
      <c r="O76" s="5">
        <f t="shared" si="19"/>
        <v>32.587</v>
      </c>
      <c r="P76" s="8">
        <f t="shared" si="19"/>
        <v>249.99730000000002</v>
      </c>
    </row>
    <row r="77" spans="1:16" s="38" customFormat="1" ht="19.5" customHeight="1">
      <c r="A77" s="69" t="s">
        <v>51</v>
      </c>
      <c r="B77" s="381"/>
      <c r="C77" s="48" t="s">
        <v>18</v>
      </c>
      <c r="D77" s="34">
        <f aca="true" t="shared" si="20" ref="D77:L77">+D62+D64+D66+D68</f>
        <v>1917.4800000000002</v>
      </c>
      <c r="E77" s="34">
        <f t="shared" si="20"/>
        <v>356.833</v>
      </c>
      <c r="F77" s="34">
        <f t="shared" si="20"/>
        <v>345.91700000000003</v>
      </c>
      <c r="G77" s="2">
        <f t="shared" si="20"/>
        <v>1635.82</v>
      </c>
      <c r="H77" s="2">
        <f t="shared" si="20"/>
        <v>804.747</v>
      </c>
      <c r="I77" s="2">
        <f t="shared" si="20"/>
        <v>152.56</v>
      </c>
      <c r="J77" s="2">
        <f t="shared" si="20"/>
        <v>1070.231</v>
      </c>
      <c r="K77" s="34">
        <f t="shared" si="20"/>
        <v>1147.7269999999999</v>
      </c>
      <c r="L77" s="34">
        <f t="shared" si="20"/>
        <v>3171.7219999999998</v>
      </c>
      <c r="M77" s="97">
        <f t="shared" si="19"/>
        <v>4022.8599999999997</v>
      </c>
      <c r="N77" s="34">
        <f t="shared" si="19"/>
        <v>2553.336</v>
      </c>
      <c r="O77" s="34">
        <f t="shared" si="19"/>
        <v>2475.846</v>
      </c>
      <c r="P77" s="9">
        <f t="shared" si="19"/>
        <v>19655.078999999998</v>
      </c>
    </row>
    <row r="78" spans="1:16" ht="19.5" customHeight="1">
      <c r="A78" s="44" t="s">
        <v>0</v>
      </c>
      <c r="B78" s="382" t="s">
        <v>54</v>
      </c>
      <c r="C78" s="54" t="s">
        <v>16</v>
      </c>
      <c r="D78" s="106">
        <v>0.8754</v>
      </c>
      <c r="E78" s="106">
        <v>0.1419</v>
      </c>
      <c r="F78" s="208">
        <v>0.3849</v>
      </c>
      <c r="G78" s="99">
        <v>1.1096</v>
      </c>
      <c r="H78" s="127">
        <v>14.8798</v>
      </c>
      <c r="I78" s="114">
        <v>35.0846</v>
      </c>
      <c r="J78" s="99">
        <v>20.9951</v>
      </c>
      <c r="K78" s="106">
        <v>11.6625</v>
      </c>
      <c r="L78" s="99">
        <v>9.251</v>
      </c>
      <c r="M78" s="106">
        <v>5.3179</v>
      </c>
      <c r="N78" s="106">
        <v>3.1957</v>
      </c>
      <c r="O78" s="99">
        <v>4.7427</v>
      </c>
      <c r="P78" s="8">
        <f>SUM(D78:O78)</f>
        <v>107.64110000000001</v>
      </c>
    </row>
    <row r="79" spans="1:16" ht="19.5" customHeight="1">
      <c r="A79" s="44" t="s">
        <v>34</v>
      </c>
      <c r="B79" s="383"/>
      <c r="C79" s="48" t="s">
        <v>18</v>
      </c>
      <c r="D79" s="107">
        <v>2001.765</v>
      </c>
      <c r="E79" s="107">
        <v>214.602</v>
      </c>
      <c r="F79" s="209">
        <v>724.121</v>
      </c>
      <c r="G79" s="100">
        <v>1480.717</v>
      </c>
      <c r="H79" s="128">
        <v>7809.16</v>
      </c>
      <c r="I79" s="33">
        <v>16456.229</v>
      </c>
      <c r="J79" s="100">
        <v>13783.133</v>
      </c>
      <c r="K79" s="107">
        <v>15891.034</v>
      </c>
      <c r="L79" s="100">
        <v>12408.179</v>
      </c>
      <c r="M79" s="107">
        <v>8944.523</v>
      </c>
      <c r="N79" s="118">
        <v>3413.409</v>
      </c>
      <c r="O79" s="100">
        <v>5279.9</v>
      </c>
      <c r="P79" s="9">
        <f>SUM(D79:O79)</f>
        <v>88406.772</v>
      </c>
    </row>
    <row r="80" spans="1:16" ht="19.5" customHeight="1">
      <c r="A80" s="44" t="s">
        <v>0</v>
      </c>
      <c r="B80" s="382" t="s">
        <v>55</v>
      </c>
      <c r="C80" s="54" t="s">
        <v>16</v>
      </c>
      <c r="D80" s="106">
        <v>0.0318</v>
      </c>
      <c r="E80" s="106">
        <v>0.029</v>
      </c>
      <c r="F80" s="208">
        <v>0.1254</v>
      </c>
      <c r="G80" s="99">
        <v>0.1637</v>
      </c>
      <c r="H80" s="127">
        <v>0.0109</v>
      </c>
      <c r="I80" s="114">
        <v>0.018</v>
      </c>
      <c r="J80" s="99"/>
      <c r="K80" s="106"/>
      <c r="L80" s="99">
        <v>0.029</v>
      </c>
      <c r="M80" s="106"/>
      <c r="N80" s="106"/>
      <c r="O80" s="99"/>
      <c r="P80" s="8">
        <f>SUM(D80:O80)</f>
        <v>0.4078000000000001</v>
      </c>
    </row>
    <row r="81" spans="1:16" ht="19.5" customHeight="1">
      <c r="A81" s="44" t="s">
        <v>0</v>
      </c>
      <c r="B81" s="383"/>
      <c r="C81" s="48" t="s">
        <v>18</v>
      </c>
      <c r="D81" s="107">
        <v>5.786</v>
      </c>
      <c r="E81" s="107">
        <v>3.675</v>
      </c>
      <c r="F81" s="209">
        <v>18.783</v>
      </c>
      <c r="G81" s="100">
        <v>15.013</v>
      </c>
      <c r="H81" s="128">
        <v>1.177</v>
      </c>
      <c r="I81" s="115">
        <v>1.533</v>
      </c>
      <c r="J81" s="100"/>
      <c r="K81" s="107"/>
      <c r="L81" s="100">
        <v>2.57</v>
      </c>
      <c r="M81" s="107"/>
      <c r="N81" s="107"/>
      <c r="O81" s="100"/>
      <c r="P81" s="9">
        <f>SUM(D81:O81)</f>
        <v>48.537</v>
      </c>
    </row>
    <row r="82" spans="1:16" ht="19.5" customHeight="1">
      <c r="A82" s="44" t="s">
        <v>56</v>
      </c>
      <c r="B82" s="47" t="s">
        <v>57</v>
      </c>
      <c r="C82" s="54" t="s">
        <v>16</v>
      </c>
      <c r="D82" s="106"/>
      <c r="E82" s="106"/>
      <c r="F82" s="208"/>
      <c r="G82" s="99"/>
      <c r="H82" s="127"/>
      <c r="I82" s="114"/>
      <c r="J82" s="99"/>
      <c r="K82" s="106"/>
      <c r="L82" s="99"/>
      <c r="M82" s="106"/>
      <c r="N82" s="106"/>
      <c r="O82" s="99"/>
      <c r="P82" s="8"/>
    </row>
    <row r="83" spans="1:16" ht="19.5" customHeight="1">
      <c r="A83" s="50"/>
      <c r="B83" s="48" t="s">
        <v>58</v>
      </c>
      <c r="C83" s="48" t="s">
        <v>18</v>
      </c>
      <c r="D83" s="107"/>
      <c r="E83" s="107"/>
      <c r="F83" s="209"/>
      <c r="G83" s="100"/>
      <c r="H83" s="128"/>
      <c r="I83" s="32"/>
      <c r="J83" s="100"/>
      <c r="K83" s="107"/>
      <c r="L83" s="100"/>
      <c r="M83" s="107"/>
      <c r="N83" s="107"/>
      <c r="O83" s="100"/>
      <c r="P83" s="9"/>
    </row>
    <row r="84" spans="1:16" ht="19.5" customHeight="1">
      <c r="A84" s="50"/>
      <c r="B84" s="382" t="s">
        <v>59</v>
      </c>
      <c r="C84" s="54" t="s">
        <v>16</v>
      </c>
      <c r="D84" s="106"/>
      <c r="E84" s="106"/>
      <c r="F84" s="208"/>
      <c r="G84" s="99"/>
      <c r="H84" s="127"/>
      <c r="I84" s="116"/>
      <c r="J84" s="99"/>
      <c r="K84" s="106"/>
      <c r="L84" s="99"/>
      <c r="M84" s="106"/>
      <c r="N84" s="106"/>
      <c r="O84" s="99"/>
      <c r="P84" s="8"/>
    </row>
    <row r="85" spans="1:16" ht="19.5" customHeight="1">
      <c r="A85" s="44" t="s">
        <v>17</v>
      </c>
      <c r="B85" s="383"/>
      <c r="C85" s="48" t="s">
        <v>18</v>
      </c>
      <c r="D85" s="107"/>
      <c r="E85" s="107"/>
      <c r="F85" s="209"/>
      <c r="G85" s="100"/>
      <c r="H85" s="128"/>
      <c r="I85" s="117"/>
      <c r="J85" s="100"/>
      <c r="K85" s="107"/>
      <c r="L85" s="100"/>
      <c r="M85" s="107"/>
      <c r="N85" s="107"/>
      <c r="O85" s="100"/>
      <c r="P85" s="9"/>
    </row>
    <row r="86" spans="1:16" ht="19.5" customHeight="1">
      <c r="A86" s="50"/>
      <c r="B86" s="47" t="s">
        <v>20</v>
      </c>
      <c r="C86" s="54" t="s">
        <v>16</v>
      </c>
      <c r="D86" s="106">
        <v>14.1753</v>
      </c>
      <c r="E86" s="106">
        <v>3.743</v>
      </c>
      <c r="F86" s="208">
        <v>3.1574</v>
      </c>
      <c r="G86" s="99">
        <v>5.0496</v>
      </c>
      <c r="H86" s="127">
        <v>14.9358</v>
      </c>
      <c r="I86" s="132">
        <v>14.5312</v>
      </c>
      <c r="J86" s="114">
        <v>2.4594</v>
      </c>
      <c r="K86" s="106">
        <v>2.0998</v>
      </c>
      <c r="L86" s="99">
        <v>8.4017</v>
      </c>
      <c r="M86" s="106">
        <v>3.6767</v>
      </c>
      <c r="N86" s="106">
        <v>7.1078</v>
      </c>
      <c r="O86" s="99">
        <v>12.1909</v>
      </c>
      <c r="P86" s="8">
        <f aca="true" t="shared" si="21" ref="P86:P103">SUM(D86:O86)</f>
        <v>91.5286</v>
      </c>
    </row>
    <row r="87" spans="1:16" ht="19.5" customHeight="1">
      <c r="A87" s="50"/>
      <c r="B87" s="48" t="s">
        <v>60</v>
      </c>
      <c r="C87" s="48" t="s">
        <v>18</v>
      </c>
      <c r="D87" s="107">
        <v>5037.582</v>
      </c>
      <c r="E87" s="107">
        <v>1967.674</v>
      </c>
      <c r="F87" s="209">
        <v>2341.705</v>
      </c>
      <c r="G87" s="100">
        <v>2899.88</v>
      </c>
      <c r="H87" s="128">
        <v>5920.957</v>
      </c>
      <c r="I87" s="145">
        <v>4778.305</v>
      </c>
      <c r="J87" s="115">
        <v>1747.786</v>
      </c>
      <c r="K87" s="107">
        <v>2608.199</v>
      </c>
      <c r="L87" s="100">
        <v>4450.572</v>
      </c>
      <c r="M87" s="107">
        <v>2720.226</v>
      </c>
      <c r="N87" s="118">
        <v>3024.401</v>
      </c>
      <c r="O87" s="100">
        <v>7316.476</v>
      </c>
      <c r="P87" s="9">
        <f t="shared" si="21"/>
        <v>44813.763000000006</v>
      </c>
    </row>
    <row r="88" spans="1:16" s="38" customFormat="1" ht="19.5" customHeight="1">
      <c r="A88" s="44" t="s">
        <v>23</v>
      </c>
      <c r="B88" s="380" t="s">
        <v>114</v>
      </c>
      <c r="C88" s="54" t="s">
        <v>16</v>
      </c>
      <c r="D88" s="5">
        <f aca="true" t="shared" si="22" ref="D88:L88">+D78+D80+D82+D84+D86</f>
        <v>15.0825</v>
      </c>
      <c r="E88" s="5">
        <f t="shared" si="22"/>
        <v>3.9139</v>
      </c>
      <c r="F88" s="5">
        <f t="shared" si="22"/>
        <v>3.6677</v>
      </c>
      <c r="G88" s="1">
        <f t="shared" si="22"/>
        <v>6.3229</v>
      </c>
      <c r="H88" s="1">
        <f t="shared" si="22"/>
        <v>29.8265</v>
      </c>
      <c r="I88" s="1">
        <f t="shared" si="22"/>
        <v>49.6338</v>
      </c>
      <c r="J88" s="1">
        <f t="shared" si="22"/>
        <v>23.4545</v>
      </c>
      <c r="K88" s="5">
        <f t="shared" si="22"/>
        <v>13.7623</v>
      </c>
      <c r="L88" s="5">
        <f t="shared" si="22"/>
        <v>17.6817</v>
      </c>
      <c r="M88" s="5">
        <f aca="true" t="shared" si="23" ref="M88:O89">+M78+M80+M82+M84+M86</f>
        <v>8.9946</v>
      </c>
      <c r="N88" s="5">
        <f t="shared" si="23"/>
        <v>10.3035</v>
      </c>
      <c r="O88" s="5">
        <f t="shared" si="23"/>
        <v>16.9336</v>
      </c>
      <c r="P88" s="8">
        <f>SUM(D88:O88)</f>
        <v>199.57750000000004</v>
      </c>
    </row>
    <row r="89" spans="1:16" s="38" customFormat="1" ht="19.5" customHeight="1">
      <c r="A89" s="49"/>
      <c r="B89" s="381"/>
      <c r="C89" s="48" t="s">
        <v>18</v>
      </c>
      <c r="D89" s="34">
        <f aca="true" t="shared" si="24" ref="D89:L89">+D79+D81+D83+D85+D87</f>
        <v>7045.133000000001</v>
      </c>
      <c r="E89" s="34">
        <f t="shared" si="24"/>
        <v>2185.951</v>
      </c>
      <c r="F89" s="34">
        <f t="shared" si="24"/>
        <v>3084.609</v>
      </c>
      <c r="G89" s="2">
        <f t="shared" si="24"/>
        <v>4395.610000000001</v>
      </c>
      <c r="H89" s="2">
        <f t="shared" si="24"/>
        <v>13731.294</v>
      </c>
      <c r="I89" s="2">
        <f t="shared" si="24"/>
        <v>21236.067</v>
      </c>
      <c r="J89" s="2">
        <f t="shared" si="24"/>
        <v>15530.919</v>
      </c>
      <c r="K89" s="34">
        <f t="shared" si="24"/>
        <v>18499.233</v>
      </c>
      <c r="L89" s="34">
        <f t="shared" si="24"/>
        <v>16861.321</v>
      </c>
      <c r="M89" s="34">
        <f t="shared" si="23"/>
        <v>11664.749</v>
      </c>
      <c r="N89" s="34">
        <f t="shared" si="23"/>
        <v>6437.8099999999995</v>
      </c>
      <c r="O89" s="34">
        <f t="shared" si="23"/>
        <v>12596.376</v>
      </c>
      <c r="P89" s="9">
        <f>SUM(D89:O89)</f>
        <v>133269.072</v>
      </c>
    </row>
    <row r="90" spans="1:16" ht="19.5" customHeight="1">
      <c r="A90" s="376" t="s">
        <v>118</v>
      </c>
      <c r="B90" s="377"/>
      <c r="C90" s="54" t="s">
        <v>16</v>
      </c>
      <c r="D90" s="106">
        <v>0.0639</v>
      </c>
      <c r="E90" s="106">
        <v>0.0798</v>
      </c>
      <c r="F90" s="208">
        <v>0.1688</v>
      </c>
      <c r="G90" s="99">
        <v>0.4232</v>
      </c>
      <c r="H90" s="130">
        <v>0.9145</v>
      </c>
      <c r="I90" s="132">
        <v>1.6958</v>
      </c>
      <c r="J90" s="114">
        <v>3.6182</v>
      </c>
      <c r="K90" s="106">
        <v>2.3436</v>
      </c>
      <c r="L90" s="99">
        <v>1.8029</v>
      </c>
      <c r="M90" s="106">
        <v>1.8</v>
      </c>
      <c r="N90" s="106">
        <v>2.118</v>
      </c>
      <c r="O90" s="99">
        <v>0.3085</v>
      </c>
      <c r="P90" s="8">
        <f t="shared" si="21"/>
        <v>15.337200000000001</v>
      </c>
    </row>
    <row r="91" spans="1:16" ht="19.5" customHeight="1">
      <c r="A91" s="378"/>
      <c r="B91" s="379"/>
      <c r="C91" s="48" t="s">
        <v>18</v>
      </c>
      <c r="D91" s="107">
        <v>65.877</v>
      </c>
      <c r="E91" s="107">
        <v>71.138</v>
      </c>
      <c r="F91" s="209">
        <v>238.954</v>
      </c>
      <c r="G91" s="100">
        <v>663.82</v>
      </c>
      <c r="H91" s="131">
        <v>1363.842</v>
      </c>
      <c r="I91" s="133">
        <v>1821.165</v>
      </c>
      <c r="J91" s="115">
        <v>3742.557</v>
      </c>
      <c r="K91" s="107">
        <v>2546.815</v>
      </c>
      <c r="L91" s="100">
        <v>1721.434</v>
      </c>
      <c r="M91" s="107">
        <v>1863.479</v>
      </c>
      <c r="N91" s="118">
        <v>2002.263</v>
      </c>
      <c r="O91" s="100">
        <v>261.149</v>
      </c>
      <c r="P91" s="9">
        <f t="shared" si="21"/>
        <v>16362.492999999997</v>
      </c>
    </row>
    <row r="92" spans="1:16" ht="19.5" customHeight="1">
      <c r="A92" s="376" t="s">
        <v>61</v>
      </c>
      <c r="B92" s="377"/>
      <c r="C92" s="54" t="s">
        <v>16</v>
      </c>
      <c r="D92" s="106"/>
      <c r="E92" s="106"/>
      <c r="F92" s="208"/>
      <c r="G92" s="99"/>
      <c r="H92" s="130"/>
      <c r="I92" s="134"/>
      <c r="J92" s="114"/>
      <c r="K92" s="106"/>
      <c r="L92" s="99"/>
      <c r="M92" s="106"/>
      <c r="N92" s="106"/>
      <c r="O92" s="99"/>
      <c r="P92" s="8">
        <f t="shared" si="21"/>
        <v>0</v>
      </c>
    </row>
    <row r="93" spans="1:16" ht="19.5" customHeight="1">
      <c r="A93" s="378"/>
      <c r="B93" s="379"/>
      <c r="C93" s="48" t="s">
        <v>18</v>
      </c>
      <c r="D93" s="107"/>
      <c r="E93" s="107"/>
      <c r="F93" s="209"/>
      <c r="G93" s="100"/>
      <c r="H93" s="131"/>
      <c r="I93" s="133"/>
      <c r="J93" s="115"/>
      <c r="K93" s="107"/>
      <c r="L93" s="100"/>
      <c r="M93" s="107"/>
      <c r="N93" s="107"/>
      <c r="O93" s="100"/>
      <c r="P93" s="9">
        <f t="shared" si="21"/>
        <v>0</v>
      </c>
    </row>
    <row r="94" spans="1:16" ht="19.5" customHeight="1">
      <c r="A94" s="376" t="s">
        <v>119</v>
      </c>
      <c r="B94" s="377"/>
      <c r="C94" s="54" t="s">
        <v>16</v>
      </c>
      <c r="D94" s="106">
        <v>0.0521</v>
      </c>
      <c r="E94" s="106">
        <v>0.0058</v>
      </c>
      <c r="F94" s="208">
        <v>0.2239</v>
      </c>
      <c r="G94" s="99">
        <v>0.3467</v>
      </c>
      <c r="H94" s="130">
        <v>0.0213</v>
      </c>
      <c r="I94" s="134">
        <v>0.253</v>
      </c>
      <c r="J94" s="114"/>
      <c r="K94" s="106"/>
      <c r="L94" s="99">
        <v>0.2727</v>
      </c>
      <c r="M94" s="106"/>
      <c r="N94" s="106">
        <v>0.043</v>
      </c>
      <c r="O94" s="99"/>
      <c r="P94" s="8">
        <f t="shared" si="21"/>
        <v>1.2185</v>
      </c>
    </row>
    <row r="95" spans="1:16" ht="19.5" customHeight="1">
      <c r="A95" s="378"/>
      <c r="B95" s="379"/>
      <c r="C95" s="48" t="s">
        <v>18</v>
      </c>
      <c r="D95" s="107">
        <v>147.662</v>
      </c>
      <c r="E95" s="107">
        <v>19.782</v>
      </c>
      <c r="F95" s="209">
        <v>153.993</v>
      </c>
      <c r="G95" s="100">
        <v>222.718</v>
      </c>
      <c r="H95" s="131">
        <v>55.361</v>
      </c>
      <c r="I95" s="133">
        <v>76.334</v>
      </c>
      <c r="J95" s="115"/>
      <c r="K95" s="107"/>
      <c r="L95" s="100">
        <v>284.517</v>
      </c>
      <c r="M95" s="107"/>
      <c r="N95" s="107">
        <v>12.096</v>
      </c>
      <c r="O95" s="100"/>
      <c r="P95" s="9">
        <f t="shared" si="21"/>
        <v>972.463</v>
      </c>
    </row>
    <row r="96" spans="1:16" ht="19.5" customHeight="1">
      <c r="A96" s="376" t="s">
        <v>120</v>
      </c>
      <c r="B96" s="377"/>
      <c r="C96" s="54" t="s">
        <v>16</v>
      </c>
      <c r="D96" s="106">
        <v>1.1305</v>
      </c>
      <c r="E96" s="106">
        <v>1.436</v>
      </c>
      <c r="F96" s="208">
        <v>0.9346</v>
      </c>
      <c r="G96" s="99">
        <v>1.1314</v>
      </c>
      <c r="H96" s="130">
        <v>1.3242</v>
      </c>
      <c r="I96" s="134">
        <v>0.8859</v>
      </c>
      <c r="J96" s="114">
        <v>0.488</v>
      </c>
      <c r="K96" s="106">
        <v>0.472</v>
      </c>
      <c r="L96" s="99">
        <v>2.3081</v>
      </c>
      <c r="M96" s="106">
        <v>0.7445</v>
      </c>
      <c r="N96" s="106">
        <v>0.5449</v>
      </c>
      <c r="O96" s="99">
        <v>1.034</v>
      </c>
      <c r="P96" s="8">
        <f t="shared" si="21"/>
        <v>12.4341</v>
      </c>
    </row>
    <row r="97" spans="1:16" ht="19.5" customHeight="1">
      <c r="A97" s="378"/>
      <c r="B97" s="379"/>
      <c r="C97" s="48" t="s">
        <v>18</v>
      </c>
      <c r="D97" s="107">
        <v>1886.375</v>
      </c>
      <c r="E97" s="107">
        <v>2204.613</v>
      </c>
      <c r="F97" s="209">
        <v>1562.317</v>
      </c>
      <c r="G97" s="100">
        <v>1974.218</v>
      </c>
      <c r="H97" s="131">
        <v>2270.397</v>
      </c>
      <c r="I97" s="133">
        <v>1196.176</v>
      </c>
      <c r="J97" s="115">
        <v>553.068</v>
      </c>
      <c r="K97" s="107">
        <v>532.116</v>
      </c>
      <c r="L97" s="100">
        <v>3963.236</v>
      </c>
      <c r="M97" s="107">
        <v>901.439</v>
      </c>
      <c r="N97" s="118">
        <v>619.79</v>
      </c>
      <c r="O97" s="100">
        <v>1297.944</v>
      </c>
      <c r="P97" s="9">
        <f t="shared" si="21"/>
        <v>18961.689</v>
      </c>
    </row>
    <row r="98" spans="1:16" ht="19.5" customHeight="1">
      <c r="A98" s="376" t="s">
        <v>63</v>
      </c>
      <c r="B98" s="377"/>
      <c r="C98" s="54" t="s">
        <v>16</v>
      </c>
      <c r="D98" s="106"/>
      <c r="E98" s="106"/>
      <c r="F98" s="208"/>
      <c r="G98" s="99"/>
      <c r="H98" s="130"/>
      <c r="I98" s="134"/>
      <c r="J98" s="114"/>
      <c r="K98" s="106"/>
      <c r="L98" s="99"/>
      <c r="M98" s="106"/>
      <c r="N98" s="106"/>
      <c r="O98" s="99"/>
      <c r="P98" s="8"/>
    </row>
    <row r="99" spans="1:16" ht="19.5" customHeight="1">
      <c r="A99" s="378"/>
      <c r="B99" s="379"/>
      <c r="C99" s="48" t="s">
        <v>18</v>
      </c>
      <c r="D99" s="107"/>
      <c r="E99" s="107"/>
      <c r="F99" s="209"/>
      <c r="G99" s="100"/>
      <c r="H99" s="131"/>
      <c r="I99" s="125"/>
      <c r="J99" s="115"/>
      <c r="K99" s="107"/>
      <c r="L99" s="100"/>
      <c r="M99" s="107"/>
      <c r="N99" s="107"/>
      <c r="O99" s="100"/>
      <c r="P99" s="9"/>
    </row>
    <row r="100" spans="1:16" ht="19.5" customHeight="1">
      <c r="A100" s="376" t="s">
        <v>121</v>
      </c>
      <c r="B100" s="377"/>
      <c r="C100" s="54" t="s">
        <v>16</v>
      </c>
      <c r="D100" s="106"/>
      <c r="E100" s="106"/>
      <c r="F100" s="208"/>
      <c r="G100" s="99"/>
      <c r="H100" s="130"/>
      <c r="I100" s="135"/>
      <c r="J100" s="114"/>
      <c r="K100" s="106"/>
      <c r="L100" s="99"/>
      <c r="M100" s="106"/>
      <c r="N100" s="106"/>
      <c r="O100" s="99"/>
      <c r="P100" s="8"/>
    </row>
    <row r="101" spans="1:16" ht="19.5" customHeight="1">
      <c r="A101" s="378"/>
      <c r="B101" s="379"/>
      <c r="C101" s="48" t="s">
        <v>18</v>
      </c>
      <c r="D101" s="107"/>
      <c r="E101" s="107"/>
      <c r="F101" s="209"/>
      <c r="G101" s="100"/>
      <c r="H101" s="131"/>
      <c r="I101" s="125"/>
      <c r="J101" s="115"/>
      <c r="K101" s="107"/>
      <c r="L101" s="100"/>
      <c r="M101" s="107"/>
      <c r="N101" s="118"/>
      <c r="O101" s="100"/>
      <c r="P101" s="9"/>
    </row>
    <row r="102" spans="1:16" ht="19.5" customHeight="1">
      <c r="A102" s="376" t="s">
        <v>64</v>
      </c>
      <c r="B102" s="377"/>
      <c r="C102" s="54" t="s">
        <v>16</v>
      </c>
      <c r="D102" s="106">
        <v>927.18786</v>
      </c>
      <c r="E102" s="106">
        <v>14.4227</v>
      </c>
      <c r="F102" s="208">
        <v>327.6413</v>
      </c>
      <c r="G102" s="109">
        <v>471.6796</v>
      </c>
      <c r="H102" s="130">
        <v>488.2657</v>
      </c>
      <c r="I102" s="132">
        <v>1357.6452</v>
      </c>
      <c r="J102" s="114">
        <v>355.8795</v>
      </c>
      <c r="K102" s="106">
        <v>973.3015</v>
      </c>
      <c r="L102" s="99">
        <v>926.9908</v>
      </c>
      <c r="M102" s="106">
        <v>654.1369</v>
      </c>
      <c r="N102" s="106">
        <v>1045.5651</v>
      </c>
      <c r="O102" s="99">
        <v>3.33928</v>
      </c>
      <c r="P102" s="8">
        <f t="shared" si="21"/>
        <v>7546.055439999998</v>
      </c>
    </row>
    <row r="103" spans="1:16" ht="19.5" customHeight="1">
      <c r="A103" s="378"/>
      <c r="B103" s="379"/>
      <c r="C103" s="48" t="s">
        <v>18</v>
      </c>
      <c r="D103" s="107">
        <v>358530.032</v>
      </c>
      <c r="E103" s="107">
        <v>6462.873</v>
      </c>
      <c r="F103" s="209">
        <v>96599.21</v>
      </c>
      <c r="G103" s="100">
        <v>156450.805</v>
      </c>
      <c r="H103" s="131">
        <v>171554.62</v>
      </c>
      <c r="I103" s="145">
        <v>574121.607</v>
      </c>
      <c r="J103" s="115">
        <v>168470.488</v>
      </c>
      <c r="K103" s="107">
        <v>181915.65</v>
      </c>
      <c r="L103" s="100">
        <v>229516.209</v>
      </c>
      <c r="M103" s="107">
        <v>159620.526</v>
      </c>
      <c r="N103" s="118">
        <v>261580.821</v>
      </c>
      <c r="O103" s="100">
        <v>4269.261</v>
      </c>
      <c r="P103" s="9">
        <f t="shared" si="21"/>
        <v>2369092.1019999995</v>
      </c>
    </row>
    <row r="104" spans="1:16" s="38" customFormat="1" ht="19.5" customHeight="1">
      <c r="A104" s="384" t="s">
        <v>65</v>
      </c>
      <c r="B104" s="385"/>
      <c r="C104" s="54" t="s">
        <v>16</v>
      </c>
      <c r="D104" s="5">
        <f aca="true" t="shared" si="25" ref="D104:L104">+D9+D11+D23+D29+D37+D39+D41+D43+D45+D47+D49+D51+D53+D59+D76+D88+D90+D92+D94+D96+D98+D100+D102</f>
        <v>1221.06186</v>
      </c>
      <c r="E104" s="5">
        <f t="shared" si="25"/>
        <v>266.0883</v>
      </c>
      <c r="F104" s="5">
        <f t="shared" si="25"/>
        <v>454.87969999999996</v>
      </c>
      <c r="G104" s="1">
        <f t="shared" si="25"/>
        <v>666.4555</v>
      </c>
      <c r="H104" s="1">
        <f t="shared" si="25"/>
        <v>796.2620999999999</v>
      </c>
      <c r="I104" s="1">
        <f t="shared" si="25"/>
        <v>1652.774</v>
      </c>
      <c r="J104" s="1">
        <f t="shared" si="25"/>
        <v>742.0098</v>
      </c>
      <c r="K104" s="5">
        <f t="shared" si="25"/>
        <v>1354.3542</v>
      </c>
      <c r="L104" s="5">
        <f t="shared" si="25"/>
        <v>1302.343</v>
      </c>
      <c r="M104" s="5">
        <f aca="true" t="shared" si="26" ref="M104:O105">+M9+M11+M23+M29+M37+M39+M41+M43+M45+M47+M49+M51+M53+M59+M76+M88+M90+M92+M94+M96+M98+M100+M102</f>
        <v>1029.8696</v>
      </c>
      <c r="N104" s="5">
        <f t="shared" si="26"/>
        <v>1591.1401</v>
      </c>
      <c r="O104" s="5">
        <f t="shared" si="26"/>
        <v>543.62598</v>
      </c>
      <c r="P104" s="8">
        <f>SUM(D104:O104)</f>
        <v>11620.864140000001</v>
      </c>
    </row>
    <row r="105" spans="1:16" s="38" customFormat="1" ht="19.5" customHeight="1">
      <c r="A105" s="386"/>
      <c r="B105" s="387"/>
      <c r="C105" s="48" t="s">
        <v>18</v>
      </c>
      <c r="D105" s="34">
        <f aca="true" t="shared" si="27" ref="D105:L105">+D10+D12+D24+D30+D38+D40+D42+D44+D46+D48+D50+D52+D54+D60+D77+D89+D91+D93+D95+D97+D99+D101+D103</f>
        <v>533014.685</v>
      </c>
      <c r="E105" s="34">
        <f t="shared" si="27"/>
        <v>180410.94900000005</v>
      </c>
      <c r="F105" s="34">
        <f t="shared" si="27"/>
        <v>205549.37099999998</v>
      </c>
      <c r="G105" s="2">
        <f t="shared" si="27"/>
        <v>289336.97199999995</v>
      </c>
      <c r="H105" s="2">
        <f t="shared" si="27"/>
        <v>330679.203</v>
      </c>
      <c r="I105" s="2">
        <f t="shared" si="27"/>
        <v>719642.858</v>
      </c>
      <c r="J105" s="2">
        <f t="shared" si="27"/>
        <v>299551.683</v>
      </c>
      <c r="K105" s="34">
        <f t="shared" si="27"/>
        <v>351622.79500000004</v>
      </c>
      <c r="L105" s="34">
        <f t="shared" si="27"/>
        <v>447960.12</v>
      </c>
      <c r="M105" s="34">
        <f t="shared" si="26"/>
        <v>510551.712</v>
      </c>
      <c r="N105" s="34">
        <f t="shared" si="26"/>
        <v>564836.2309999999</v>
      </c>
      <c r="O105" s="34">
        <f t="shared" si="26"/>
        <v>315084.6489999999</v>
      </c>
      <c r="P105" s="9">
        <f>SUM(D105:O105)</f>
        <v>4748241.228</v>
      </c>
    </row>
    <row r="106" spans="1:16" ht="19.5" customHeight="1">
      <c r="A106" s="44" t="s">
        <v>0</v>
      </c>
      <c r="B106" s="382" t="s">
        <v>122</v>
      </c>
      <c r="C106" s="54" t="s">
        <v>16</v>
      </c>
      <c r="D106" s="106"/>
      <c r="E106" s="106"/>
      <c r="F106" s="208"/>
      <c r="G106" s="99"/>
      <c r="H106" s="130"/>
      <c r="I106" s="134"/>
      <c r="J106" s="114"/>
      <c r="K106" s="106"/>
      <c r="L106" s="99"/>
      <c r="M106" s="106"/>
      <c r="N106" s="106"/>
      <c r="O106" s="99"/>
      <c r="P106" s="8"/>
    </row>
    <row r="107" spans="1:16" ht="19.5" customHeight="1">
      <c r="A107" s="44" t="s">
        <v>0</v>
      </c>
      <c r="B107" s="383"/>
      <c r="C107" s="48" t="s">
        <v>18</v>
      </c>
      <c r="D107" s="107"/>
      <c r="E107" s="107"/>
      <c r="F107" s="209"/>
      <c r="G107" s="100"/>
      <c r="H107" s="126"/>
      <c r="I107" s="136"/>
      <c r="J107" s="115"/>
      <c r="K107" s="107"/>
      <c r="L107" s="100"/>
      <c r="M107" s="107"/>
      <c r="N107" s="107"/>
      <c r="O107" s="100"/>
      <c r="P107" s="9"/>
    </row>
    <row r="108" spans="1:16" ht="19.5" customHeight="1">
      <c r="A108" s="44" t="s">
        <v>66</v>
      </c>
      <c r="B108" s="382" t="s">
        <v>135</v>
      </c>
      <c r="C108" s="54" t="s">
        <v>16</v>
      </c>
      <c r="D108" s="106">
        <v>0.8473</v>
      </c>
      <c r="E108" s="106">
        <v>0.6057</v>
      </c>
      <c r="F108" s="208">
        <v>0.5511</v>
      </c>
      <c r="G108" s="99">
        <v>0.2776</v>
      </c>
      <c r="H108" s="127">
        <v>1.1841</v>
      </c>
      <c r="I108" s="114">
        <v>0.5876</v>
      </c>
      <c r="J108" s="99">
        <v>0.3771</v>
      </c>
      <c r="K108" s="106">
        <v>0.15</v>
      </c>
      <c r="L108" s="99">
        <v>0.5374</v>
      </c>
      <c r="M108" s="106">
        <v>0.333</v>
      </c>
      <c r="N108" s="106">
        <v>0.3319</v>
      </c>
      <c r="O108" s="99">
        <v>0.6263</v>
      </c>
      <c r="P108" s="8">
        <f aca="true" t="shared" si="28" ref="P108:P115">SUM(D108:O108)</f>
        <v>6.4091000000000005</v>
      </c>
    </row>
    <row r="109" spans="1:16" ht="19.5" customHeight="1">
      <c r="A109" s="44" t="s">
        <v>0</v>
      </c>
      <c r="B109" s="383"/>
      <c r="C109" s="48" t="s">
        <v>18</v>
      </c>
      <c r="D109" s="107">
        <v>435.775</v>
      </c>
      <c r="E109" s="107">
        <v>246.877</v>
      </c>
      <c r="F109" s="209">
        <v>320.525</v>
      </c>
      <c r="G109" s="100">
        <v>171.093</v>
      </c>
      <c r="H109" s="128">
        <v>853.815</v>
      </c>
      <c r="I109" s="32">
        <v>336.539</v>
      </c>
      <c r="J109" s="100">
        <v>243.809</v>
      </c>
      <c r="K109" s="107">
        <v>165.456</v>
      </c>
      <c r="L109" s="100">
        <v>270.216</v>
      </c>
      <c r="M109" s="107">
        <v>173.113</v>
      </c>
      <c r="N109" s="118">
        <v>285.925</v>
      </c>
      <c r="O109" s="100">
        <v>572.751</v>
      </c>
      <c r="P109" s="9">
        <f t="shared" si="28"/>
        <v>4075.8940000000002</v>
      </c>
    </row>
    <row r="110" spans="1:16" ht="19.5" customHeight="1">
      <c r="A110" s="44" t="s">
        <v>0</v>
      </c>
      <c r="B110" s="382" t="s">
        <v>124</v>
      </c>
      <c r="C110" s="54" t="s">
        <v>16</v>
      </c>
      <c r="D110" s="106">
        <v>3.2038</v>
      </c>
      <c r="E110" s="106">
        <v>2.1196</v>
      </c>
      <c r="F110" s="208">
        <v>1.4862</v>
      </c>
      <c r="G110" s="99">
        <v>1.2006</v>
      </c>
      <c r="H110" s="127">
        <v>0.8643</v>
      </c>
      <c r="I110" s="116">
        <v>1.3665</v>
      </c>
      <c r="J110" s="99">
        <v>1.9061</v>
      </c>
      <c r="K110" s="106">
        <v>12.907</v>
      </c>
      <c r="L110" s="99">
        <v>132.0445</v>
      </c>
      <c r="M110" s="106">
        <v>307.1071</v>
      </c>
      <c r="N110" s="106">
        <v>693.6679</v>
      </c>
      <c r="O110" s="99">
        <v>211.8961</v>
      </c>
      <c r="P110" s="8">
        <f t="shared" si="28"/>
        <v>1369.7696999999998</v>
      </c>
    </row>
    <row r="111" spans="1:16" ht="19.5" customHeight="1">
      <c r="A111" s="50"/>
      <c r="B111" s="383"/>
      <c r="C111" s="48" t="s">
        <v>18</v>
      </c>
      <c r="D111" s="107">
        <v>1810.165</v>
      </c>
      <c r="E111" s="107">
        <v>1319.524</v>
      </c>
      <c r="F111" s="209">
        <v>899.191</v>
      </c>
      <c r="G111" s="100">
        <v>1087.376</v>
      </c>
      <c r="H111" s="128">
        <v>826.313</v>
      </c>
      <c r="I111" s="32">
        <v>452.536</v>
      </c>
      <c r="J111" s="100">
        <v>993.983</v>
      </c>
      <c r="K111" s="107">
        <v>2495.102</v>
      </c>
      <c r="L111" s="100">
        <v>29741.706</v>
      </c>
      <c r="M111" s="107">
        <v>63911.937</v>
      </c>
      <c r="N111" s="118">
        <v>144879.138</v>
      </c>
      <c r="O111" s="100">
        <v>47663.085</v>
      </c>
      <c r="P111" s="9">
        <f t="shared" si="28"/>
        <v>296080.05600000004</v>
      </c>
    </row>
    <row r="112" spans="1:16" ht="19.5" customHeight="1">
      <c r="A112" s="44" t="s">
        <v>67</v>
      </c>
      <c r="B112" s="382" t="s">
        <v>125</v>
      </c>
      <c r="C112" s="54" t="s">
        <v>16</v>
      </c>
      <c r="D112" s="106">
        <v>0.0389</v>
      </c>
      <c r="E112" s="106">
        <v>0.0364</v>
      </c>
      <c r="F112" s="208">
        <v>0.0056</v>
      </c>
      <c r="G112" s="99">
        <v>0.5291</v>
      </c>
      <c r="H112" s="127">
        <v>0.3573</v>
      </c>
      <c r="I112" s="116">
        <v>0.2062</v>
      </c>
      <c r="J112" s="99">
        <v>0.184</v>
      </c>
      <c r="K112" s="106">
        <v>0.0301</v>
      </c>
      <c r="L112" s="99">
        <v>0.0996</v>
      </c>
      <c r="M112" s="106">
        <v>0.1134</v>
      </c>
      <c r="N112" s="106">
        <v>0.1212</v>
      </c>
      <c r="O112" s="99">
        <v>0.0988</v>
      </c>
      <c r="P112" s="8">
        <f t="shared" si="28"/>
        <v>1.8205999999999998</v>
      </c>
    </row>
    <row r="113" spans="1:16" ht="19.5" customHeight="1">
      <c r="A113" s="50"/>
      <c r="B113" s="383"/>
      <c r="C113" s="48" t="s">
        <v>18</v>
      </c>
      <c r="D113" s="107">
        <v>292.437</v>
      </c>
      <c r="E113" s="107">
        <v>285.139</v>
      </c>
      <c r="F113" s="209">
        <v>43.155</v>
      </c>
      <c r="G113" s="100">
        <v>1306.984</v>
      </c>
      <c r="H113" s="128">
        <v>760.763</v>
      </c>
      <c r="I113" s="115">
        <v>551.351</v>
      </c>
      <c r="J113" s="100">
        <v>401.955</v>
      </c>
      <c r="K113" s="107">
        <v>45.996</v>
      </c>
      <c r="L113" s="100">
        <v>468.028</v>
      </c>
      <c r="M113" s="107">
        <v>51.818</v>
      </c>
      <c r="N113" s="107">
        <v>35.704</v>
      </c>
      <c r="O113" s="100">
        <v>126.673</v>
      </c>
      <c r="P113" s="9">
        <f t="shared" si="28"/>
        <v>4370.003</v>
      </c>
    </row>
    <row r="114" spans="1:16" ht="19.5" customHeight="1">
      <c r="A114" s="50"/>
      <c r="B114" s="382" t="s">
        <v>126</v>
      </c>
      <c r="C114" s="54" t="s">
        <v>16</v>
      </c>
      <c r="D114" s="106">
        <v>0.0466</v>
      </c>
      <c r="E114" s="106">
        <v>0.0362</v>
      </c>
      <c r="F114" s="208">
        <v>0.1105</v>
      </c>
      <c r="G114" s="99">
        <v>0.4213</v>
      </c>
      <c r="H114" s="129">
        <v>1.0698</v>
      </c>
      <c r="I114" s="114">
        <v>0.4277</v>
      </c>
      <c r="J114" s="99">
        <v>0.3401</v>
      </c>
      <c r="K114" s="106">
        <v>0.554</v>
      </c>
      <c r="L114" s="99">
        <v>1.9119</v>
      </c>
      <c r="M114" s="106">
        <v>1.806</v>
      </c>
      <c r="N114" s="106">
        <v>0.5041</v>
      </c>
      <c r="O114" s="99">
        <v>1.0185</v>
      </c>
      <c r="P114" s="8">
        <f t="shared" si="28"/>
        <v>8.2467</v>
      </c>
    </row>
    <row r="115" spans="1:16" ht="19.5" customHeight="1">
      <c r="A115" s="50"/>
      <c r="B115" s="383"/>
      <c r="C115" s="48" t="s">
        <v>18</v>
      </c>
      <c r="D115" s="107">
        <v>34.866</v>
      </c>
      <c r="E115" s="107">
        <v>69.405</v>
      </c>
      <c r="F115" s="209">
        <v>146.685</v>
      </c>
      <c r="G115" s="100">
        <v>601.288</v>
      </c>
      <c r="H115" s="128">
        <v>750.632</v>
      </c>
      <c r="I115" s="32">
        <v>137.209</v>
      </c>
      <c r="J115" s="100">
        <v>110.328</v>
      </c>
      <c r="K115" s="107">
        <v>251.083</v>
      </c>
      <c r="L115" s="100">
        <v>1011.162</v>
      </c>
      <c r="M115" s="107">
        <v>774.054</v>
      </c>
      <c r="N115" s="118">
        <v>234.399</v>
      </c>
      <c r="O115" s="100">
        <v>844.014</v>
      </c>
      <c r="P115" s="9">
        <f t="shared" si="28"/>
        <v>4965.125000000001</v>
      </c>
    </row>
    <row r="116" spans="1:16" ht="19.5" customHeight="1">
      <c r="A116" s="44" t="s">
        <v>68</v>
      </c>
      <c r="B116" s="382" t="s">
        <v>127</v>
      </c>
      <c r="C116" s="54" t="s">
        <v>16</v>
      </c>
      <c r="D116" s="106"/>
      <c r="E116" s="106"/>
      <c r="F116" s="208"/>
      <c r="G116" s="99"/>
      <c r="H116" s="127"/>
      <c r="I116" s="116"/>
      <c r="J116" s="99"/>
      <c r="K116" s="106"/>
      <c r="L116" s="99"/>
      <c r="M116" s="106"/>
      <c r="N116" s="106"/>
      <c r="O116" s="99"/>
      <c r="P116" s="8"/>
    </row>
    <row r="117" spans="1:16" ht="19.5" customHeight="1">
      <c r="A117" s="50"/>
      <c r="B117" s="383"/>
      <c r="C117" s="48" t="s">
        <v>18</v>
      </c>
      <c r="D117" s="107"/>
      <c r="E117" s="107"/>
      <c r="F117" s="209"/>
      <c r="G117" s="100"/>
      <c r="H117" s="128"/>
      <c r="I117" s="115"/>
      <c r="J117" s="100"/>
      <c r="K117" s="107"/>
      <c r="L117" s="100"/>
      <c r="M117" s="107"/>
      <c r="N117" s="107"/>
      <c r="O117" s="100"/>
      <c r="P117" s="9"/>
    </row>
    <row r="118" spans="1:16" ht="19.5" customHeight="1">
      <c r="A118" s="50"/>
      <c r="B118" s="382" t="s">
        <v>128</v>
      </c>
      <c r="C118" s="54" t="s">
        <v>16</v>
      </c>
      <c r="D118" s="106">
        <v>0.0741</v>
      </c>
      <c r="E118" s="106"/>
      <c r="F118" s="208">
        <v>0.0318</v>
      </c>
      <c r="G118" s="99">
        <v>0.011</v>
      </c>
      <c r="H118" s="127">
        <v>0.0278</v>
      </c>
      <c r="I118" s="114">
        <v>0.0084</v>
      </c>
      <c r="J118" s="99">
        <v>0.0095</v>
      </c>
      <c r="K118" s="106">
        <v>0.0257</v>
      </c>
      <c r="L118" s="99">
        <v>0.009</v>
      </c>
      <c r="M118" s="106">
        <v>0.0061</v>
      </c>
      <c r="N118" s="106">
        <v>0.0585</v>
      </c>
      <c r="O118" s="99">
        <v>0.094</v>
      </c>
      <c r="P118" s="8">
        <f aca="true" t="shared" si="29" ref="P118:P134">SUM(D118:O118)</f>
        <v>0.3559</v>
      </c>
    </row>
    <row r="119" spans="1:16" ht="19.5" customHeight="1">
      <c r="A119" s="50"/>
      <c r="B119" s="383"/>
      <c r="C119" s="48" t="s">
        <v>18</v>
      </c>
      <c r="D119" s="107">
        <v>59.588</v>
      </c>
      <c r="E119" s="107"/>
      <c r="F119" s="209">
        <v>31.416</v>
      </c>
      <c r="G119" s="100">
        <v>13.824</v>
      </c>
      <c r="H119" s="128">
        <v>35.769</v>
      </c>
      <c r="I119" s="32">
        <v>10.887</v>
      </c>
      <c r="J119" s="100">
        <v>9.731</v>
      </c>
      <c r="K119" s="107">
        <v>12.377</v>
      </c>
      <c r="L119" s="100">
        <v>2.268</v>
      </c>
      <c r="M119" s="107">
        <v>4.072</v>
      </c>
      <c r="N119" s="118">
        <v>48.805</v>
      </c>
      <c r="O119" s="100">
        <v>111.618</v>
      </c>
      <c r="P119" s="9">
        <f t="shared" si="29"/>
        <v>340.355</v>
      </c>
    </row>
    <row r="120" spans="1:16" ht="19.5" customHeight="1">
      <c r="A120" s="44" t="s">
        <v>70</v>
      </c>
      <c r="B120" s="382" t="s">
        <v>144</v>
      </c>
      <c r="C120" s="54" t="s">
        <v>16</v>
      </c>
      <c r="D120" s="106">
        <v>0.252</v>
      </c>
      <c r="E120" s="106">
        <v>0.36</v>
      </c>
      <c r="F120" s="208">
        <v>0.48</v>
      </c>
      <c r="G120" s="99">
        <v>0.8</v>
      </c>
      <c r="H120" s="127">
        <v>1.056</v>
      </c>
      <c r="I120" s="116">
        <v>0.564</v>
      </c>
      <c r="J120" s="99">
        <v>1.02</v>
      </c>
      <c r="K120" s="106">
        <v>1.56</v>
      </c>
      <c r="L120" s="99">
        <v>1.4</v>
      </c>
      <c r="M120" s="106">
        <v>1.5</v>
      </c>
      <c r="N120" s="106">
        <v>1.116</v>
      </c>
      <c r="O120" s="99">
        <v>1.9615</v>
      </c>
      <c r="P120" s="8">
        <f t="shared" si="29"/>
        <v>12.069500000000001</v>
      </c>
    </row>
    <row r="121" spans="1:16" ht="19.5" customHeight="1">
      <c r="A121" s="50"/>
      <c r="B121" s="383"/>
      <c r="C121" s="48" t="s">
        <v>18</v>
      </c>
      <c r="D121" s="107">
        <v>105.84</v>
      </c>
      <c r="E121" s="107">
        <v>151.2</v>
      </c>
      <c r="F121" s="209">
        <v>201.6</v>
      </c>
      <c r="G121" s="100">
        <v>345.6</v>
      </c>
      <c r="H121" s="128">
        <v>456.192</v>
      </c>
      <c r="I121" s="32">
        <v>243.648</v>
      </c>
      <c r="J121" s="100">
        <v>440.64</v>
      </c>
      <c r="K121" s="107">
        <v>659.34</v>
      </c>
      <c r="L121" s="100">
        <v>593.46</v>
      </c>
      <c r="M121" s="107">
        <v>648</v>
      </c>
      <c r="N121" s="118">
        <v>482.112</v>
      </c>
      <c r="O121" s="100">
        <v>844.128</v>
      </c>
      <c r="P121" s="9">
        <f t="shared" si="29"/>
        <v>5171.759999999999</v>
      </c>
    </row>
    <row r="122" spans="1:16" ht="19.5" customHeight="1">
      <c r="A122" s="50"/>
      <c r="B122" s="382" t="s">
        <v>72</v>
      </c>
      <c r="C122" s="54" t="s">
        <v>16</v>
      </c>
      <c r="D122" s="106">
        <v>0.39</v>
      </c>
      <c r="E122" s="106">
        <v>0.5554</v>
      </c>
      <c r="F122" s="208">
        <v>1.2871</v>
      </c>
      <c r="G122" s="99">
        <v>0.4357</v>
      </c>
      <c r="H122" s="127">
        <v>0.5069</v>
      </c>
      <c r="I122" s="116">
        <v>0.511</v>
      </c>
      <c r="J122" s="99">
        <v>0.55</v>
      </c>
      <c r="K122" s="106">
        <v>0.411</v>
      </c>
      <c r="L122" s="99">
        <v>0.285</v>
      </c>
      <c r="M122" s="106">
        <v>0.335</v>
      </c>
      <c r="N122" s="106">
        <v>0.175</v>
      </c>
      <c r="O122" s="99">
        <v>0.035</v>
      </c>
      <c r="P122" s="8">
        <f t="shared" si="29"/>
        <v>5.477099999999999</v>
      </c>
    </row>
    <row r="123" spans="1:16" ht="19.5" customHeight="1">
      <c r="A123" s="50"/>
      <c r="B123" s="383"/>
      <c r="C123" s="48" t="s">
        <v>18</v>
      </c>
      <c r="D123" s="107">
        <v>118.02</v>
      </c>
      <c r="E123" s="107">
        <v>197.154</v>
      </c>
      <c r="F123" s="209">
        <v>416.204</v>
      </c>
      <c r="G123" s="100">
        <v>365.413</v>
      </c>
      <c r="H123" s="128">
        <v>437.794</v>
      </c>
      <c r="I123" s="32">
        <v>439.722</v>
      </c>
      <c r="J123" s="100">
        <v>475.2</v>
      </c>
      <c r="K123" s="107">
        <v>355.104</v>
      </c>
      <c r="L123" s="100">
        <v>221.94</v>
      </c>
      <c r="M123" s="107">
        <v>235.98</v>
      </c>
      <c r="N123" s="118">
        <v>107.46</v>
      </c>
      <c r="O123" s="100">
        <v>20.52</v>
      </c>
      <c r="P123" s="9">
        <f t="shared" si="29"/>
        <v>3390.511</v>
      </c>
    </row>
    <row r="124" spans="1:16" ht="19.5" customHeight="1">
      <c r="A124" s="44" t="s">
        <v>23</v>
      </c>
      <c r="B124" s="382" t="s">
        <v>130</v>
      </c>
      <c r="C124" s="54" t="s">
        <v>16</v>
      </c>
      <c r="D124" s="106">
        <v>1.6968</v>
      </c>
      <c r="E124" s="106">
        <v>0.7323</v>
      </c>
      <c r="F124" s="208">
        <v>1.3664</v>
      </c>
      <c r="G124" s="99">
        <v>0.8932</v>
      </c>
      <c r="H124" s="127">
        <v>0.7688</v>
      </c>
      <c r="I124" s="116">
        <v>1.0593</v>
      </c>
      <c r="J124" s="99">
        <v>0.3353</v>
      </c>
      <c r="K124" s="106">
        <v>0.0394</v>
      </c>
      <c r="L124" s="99">
        <v>0.0313</v>
      </c>
      <c r="M124" s="106">
        <v>0.0223</v>
      </c>
      <c r="N124" s="106">
        <v>0.0223</v>
      </c>
      <c r="O124" s="99">
        <v>0.014</v>
      </c>
      <c r="P124" s="8">
        <f t="shared" si="29"/>
        <v>6.981400000000001</v>
      </c>
    </row>
    <row r="125" spans="1:16" ht="19.5" customHeight="1">
      <c r="A125" s="50"/>
      <c r="B125" s="383"/>
      <c r="C125" s="48" t="s">
        <v>18</v>
      </c>
      <c r="D125" s="107">
        <v>570.999</v>
      </c>
      <c r="E125" s="107">
        <v>292.962</v>
      </c>
      <c r="F125" s="209">
        <v>727.001</v>
      </c>
      <c r="G125" s="100">
        <v>574.325</v>
      </c>
      <c r="H125" s="128">
        <v>411.777</v>
      </c>
      <c r="I125" s="32">
        <v>423.068</v>
      </c>
      <c r="J125" s="100">
        <v>162.729</v>
      </c>
      <c r="K125" s="107">
        <v>22.091</v>
      </c>
      <c r="L125" s="100">
        <v>15.476</v>
      </c>
      <c r="M125" s="107">
        <v>31.827</v>
      </c>
      <c r="N125" s="118">
        <v>25.726</v>
      </c>
      <c r="O125" s="100">
        <v>39.852</v>
      </c>
      <c r="P125" s="9">
        <f t="shared" si="29"/>
        <v>3297.8330000000005</v>
      </c>
    </row>
    <row r="126" spans="1:16" ht="19.5" customHeight="1">
      <c r="A126" s="50"/>
      <c r="B126" s="47" t="s">
        <v>20</v>
      </c>
      <c r="C126" s="54" t="s">
        <v>16</v>
      </c>
      <c r="D126" s="106">
        <v>0.003</v>
      </c>
      <c r="E126" s="106">
        <v>0.015</v>
      </c>
      <c r="F126" s="208"/>
      <c r="G126" s="99">
        <v>0.0045</v>
      </c>
      <c r="H126" s="127">
        <v>0.1874</v>
      </c>
      <c r="I126" s="116">
        <v>0.1918</v>
      </c>
      <c r="J126" s="99">
        <v>0.138</v>
      </c>
      <c r="K126" s="106"/>
      <c r="L126" s="99"/>
      <c r="M126" s="106"/>
      <c r="N126" s="106"/>
      <c r="O126" s="99"/>
      <c r="P126" s="8">
        <f t="shared" si="29"/>
        <v>0.5397000000000001</v>
      </c>
    </row>
    <row r="127" spans="1:16" ht="19.5" customHeight="1">
      <c r="A127" s="50"/>
      <c r="B127" s="48" t="s">
        <v>73</v>
      </c>
      <c r="C127" s="48" t="s">
        <v>18</v>
      </c>
      <c r="D127" s="107">
        <v>23.625</v>
      </c>
      <c r="E127" s="107">
        <v>8.925</v>
      </c>
      <c r="F127" s="209"/>
      <c r="G127" s="100">
        <v>3.888</v>
      </c>
      <c r="H127" s="128">
        <v>389.124</v>
      </c>
      <c r="I127" s="32">
        <v>194.043</v>
      </c>
      <c r="J127" s="100">
        <v>315.792</v>
      </c>
      <c r="K127" s="107"/>
      <c r="L127" s="100"/>
      <c r="M127" s="107"/>
      <c r="N127" s="107"/>
      <c r="O127" s="100"/>
      <c r="P127" s="9">
        <f t="shared" si="29"/>
        <v>935.3969999999999</v>
      </c>
    </row>
    <row r="128" spans="1:16" s="38" customFormat="1" ht="19.5" customHeight="1">
      <c r="A128" s="50"/>
      <c r="B128" s="380" t="s">
        <v>107</v>
      </c>
      <c r="C128" s="54" t="s">
        <v>16</v>
      </c>
      <c r="D128" s="5">
        <f aca="true" t="shared" si="30" ref="D128:L128">+D106+D108+D110+D112+D114+D116+D118+D120+D122+D124+D126</f>
        <v>6.552499999999998</v>
      </c>
      <c r="E128" s="5">
        <f t="shared" si="30"/>
        <v>4.4606</v>
      </c>
      <c r="F128" s="5">
        <f t="shared" si="30"/>
        <v>5.3187</v>
      </c>
      <c r="G128" s="1">
        <f t="shared" si="30"/>
        <v>4.573</v>
      </c>
      <c r="H128" s="1">
        <f t="shared" si="30"/>
        <v>6.0224</v>
      </c>
      <c r="I128" s="20">
        <f t="shared" si="30"/>
        <v>4.9225</v>
      </c>
      <c r="J128" s="1">
        <f t="shared" si="30"/>
        <v>4.8601</v>
      </c>
      <c r="K128" s="5">
        <f t="shared" si="30"/>
        <v>15.677200000000001</v>
      </c>
      <c r="L128" s="83">
        <f t="shared" si="30"/>
        <v>136.31869999999998</v>
      </c>
      <c r="M128" s="83">
        <f aca="true" t="shared" si="31" ref="M128:O129">+M106+M108+M110+M112+M114+M116+M118+M120+M122+M124+M126</f>
        <v>311.2229</v>
      </c>
      <c r="N128" s="83">
        <f t="shared" si="31"/>
        <v>695.9969</v>
      </c>
      <c r="O128" s="5">
        <f t="shared" si="31"/>
        <v>215.74419999999998</v>
      </c>
      <c r="P128" s="8">
        <f>SUM(D128:O128)</f>
        <v>1411.6697</v>
      </c>
    </row>
    <row r="129" spans="1:16" s="38" customFormat="1" ht="19.5" customHeight="1">
      <c r="A129" s="49"/>
      <c r="B129" s="381"/>
      <c r="C129" s="48" t="s">
        <v>18</v>
      </c>
      <c r="D129" s="34">
        <f aca="true" t="shared" si="32" ref="D129:L129">+D107+D109+D111+D113+D115+D117+D119+D121+D123+D125+D127</f>
        <v>3451.3150000000005</v>
      </c>
      <c r="E129" s="34">
        <f t="shared" si="32"/>
        <v>2571.186</v>
      </c>
      <c r="F129" s="34">
        <f t="shared" si="32"/>
        <v>2785.777</v>
      </c>
      <c r="G129" s="2">
        <f t="shared" si="32"/>
        <v>4469.791</v>
      </c>
      <c r="H129" s="2">
        <f t="shared" si="32"/>
        <v>4922.179</v>
      </c>
      <c r="I129" s="25">
        <f t="shared" si="32"/>
        <v>2789.003</v>
      </c>
      <c r="J129" s="2">
        <f t="shared" si="32"/>
        <v>3154.1669999999995</v>
      </c>
      <c r="K129" s="34">
        <f t="shared" si="32"/>
        <v>4006.549</v>
      </c>
      <c r="L129" s="34">
        <f t="shared" si="32"/>
        <v>32324.255999999994</v>
      </c>
      <c r="M129" s="34">
        <f t="shared" si="31"/>
        <v>65830.80099999999</v>
      </c>
      <c r="N129" s="34">
        <f t="shared" si="31"/>
        <v>146099.26899999997</v>
      </c>
      <c r="O129" s="34">
        <f t="shared" si="31"/>
        <v>50222.640999999996</v>
      </c>
      <c r="P129" s="9">
        <f>SUM(D129:O129)</f>
        <v>322626.93399999995</v>
      </c>
    </row>
    <row r="130" spans="1:16" ht="19.5" customHeight="1">
      <c r="A130" s="44" t="s">
        <v>0</v>
      </c>
      <c r="B130" s="382" t="s">
        <v>74</v>
      </c>
      <c r="C130" s="54" t="s">
        <v>16</v>
      </c>
      <c r="D130" s="106"/>
      <c r="E130" s="106"/>
      <c r="F130" s="208"/>
      <c r="G130" s="99"/>
      <c r="H130" s="127"/>
      <c r="I130" s="114"/>
      <c r="J130" s="99"/>
      <c r="K130" s="106"/>
      <c r="L130" s="99"/>
      <c r="M130" s="106"/>
      <c r="N130" s="106"/>
      <c r="O130" s="99"/>
      <c r="P130" s="8"/>
    </row>
    <row r="131" spans="1:16" ht="19.5" customHeight="1">
      <c r="A131" s="44" t="s">
        <v>0</v>
      </c>
      <c r="B131" s="383"/>
      <c r="C131" s="48" t="s">
        <v>18</v>
      </c>
      <c r="D131" s="107"/>
      <c r="E131" s="107"/>
      <c r="F131" s="209"/>
      <c r="G131" s="100"/>
      <c r="H131" s="128"/>
      <c r="I131" s="115"/>
      <c r="J131" s="100"/>
      <c r="K131" s="107"/>
      <c r="L131" s="100"/>
      <c r="M131" s="107"/>
      <c r="N131" s="107"/>
      <c r="O131" s="100"/>
      <c r="P131" s="9"/>
    </row>
    <row r="132" spans="1:16" ht="19.5" customHeight="1">
      <c r="A132" s="44" t="s">
        <v>75</v>
      </c>
      <c r="B132" s="382" t="s">
        <v>76</v>
      </c>
      <c r="C132" s="54" t="s">
        <v>16</v>
      </c>
      <c r="D132" s="106">
        <v>0.2065</v>
      </c>
      <c r="E132" s="106"/>
      <c r="F132" s="208"/>
      <c r="G132" s="99"/>
      <c r="H132" s="127"/>
      <c r="I132" s="114"/>
      <c r="J132" s="99"/>
      <c r="K132" s="106"/>
      <c r="L132" s="99"/>
      <c r="M132" s="106"/>
      <c r="N132" s="106"/>
      <c r="O132" s="99"/>
      <c r="P132" s="8">
        <f t="shared" si="29"/>
        <v>0.2065</v>
      </c>
    </row>
    <row r="133" spans="1:16" ht="19.5" customHeight="1">
      <c r="A133" s="50"/>
      <c r="B133" s="383"/>
      <c r="C133" s="48" t="s">
        <v>18</v>
      </c>
      <c r="D133" s="107">
        <v>50.029</v>
      </c>
      <c r="E133" s="107"/>
      <c r="F133" s="209"/>
      <c r="G133" s="100"/>
      <c r="H133" s="128"/>
      <c r="I133" s="115"/>
      <c r="J133" s="100"/>
      <c r="K133" s="107"/>
      <c r="L133" s="100"/>
      <c r="M133" s="107"/>
      <c r="N133" s="107"/>
      <c r="O133" s="100"/>
      <c r="P133" s="9">
        <f t="shared" si="29"/>
        <v>50.029</v>
      </c>
    </row>
    <row r="134" spans="1:16" ht="19.5" customHeight="1">
      <c r="A134" s="44" t="s">
        <v>77</v>
      </c>
      <c r="B134" s="148" t="s">
        <v>20</v>
      </c>
      <c r="C134" s="54" t="s">
        <v>16</v>
      </c>
      <c r="D134" s="189">
        <v>0.269</v>
      </c>
      <c r="E134" s="189">
        <v>0.4175</v>
      </c>
      <c r="F134" s="211">
        <v>0.479</v>
      </c>
      <c r="G134" s="190"/>
      <c r="H134" s="195"/>
      <c r="I134" s="196"/>
      <c r="J134" s="190"/>
      <c r="K134" s="189"/>
      <c r="L134" s="190"/>
      <c r="M134" s="189"/>
      <c r="N134" s="189"/>
      <c r="O134" s="190"/>
      <c r="P134" s="194">
        <f t="shared" si="29"/>
        <v>1.1655</v>
      </c>
    </row>
    <row r="135" spans="1:16" ht="19.5" customHeight="1">
      <c r="A135" s="50"/>
      <c r="B135" s="149" t="s">
        <v>78</v>
      </c>
      <c r="C135" s="54" t="s">
        <v>79</v>
      </c>
      <c r="D135" s="106"/>
      <c r="E135" s="106"/>
      <c r="F135" s="208"/>
      <c r="G135" s="99"/>
      <c r="H135" s="127"/>
      <c r="I135" s="114"/>
      <c r="J135" s="99"/>
      <c r="K135" s="106"/>
      <c r="L135" s="99"/>
      <c r="M135" s="106"/>
      <c r="N135" s="106"/>
      <c r="O135" s="99"/>
      <c r="P135" s="8"/>
    </row>
    <row r="136" spans="1:16" ht="19.5" customHeight="1">
      <c r="A136" s="44" t="s">
        <v>23</v>
      </c>
      <c r="B136" s="25"/>
      <c r="C136" s="48" t="s">
        <v>18</v>
      </c>
      <c r="D136" s="107">
        <v>133.317</v>
      </c>
      <c r="E136" s="107">
        <v>202.517</v>
      </c>
      <c r="F136" s="209">
        <v>214.028</v>
      </c>
      <c r="G136" s="100"/>
      <c r="H136" s="126"/>
      <c r="I136" s="32"/>
      <c r="J136" s="100"/>
      <c r="K136" s="107"/>
      <c r="L136" s="100"/>
      <c r="M136" s="107"/>
      <c r="N136" s="107"/>
      <c r="O136" s="100"/>
      <c r="P136" s="9">
        <f aca="true" t="shared" si="33" ref="P136:P142">SUM(D136:O136)</f>
        <v>549.862</v>
      </c>
    </row>
    <row r="137" spans="1:16" s="38" customFormat="1" ht="19.5" customHeight="1">
      <c r="A137" s="50"/>
      <c r="B137" s="55" t="s">
        <v>0</v>
      </c>
      <c r="C137" s="54" t="s">
        <v>16</v>
      </c>
      <c r="D137" s="5">
        <f>+D130+D132+D134</f>
        <v>0.47550000000000003</v>
      </c>
      <c r="E137" s="5">
        <f>+E130+E132+E134</f>
        <v>0.4175</v>
      </c>
      <c r="F137" s="5">
        <f>+F130+F132+F134</f>
        <v>0.479</v>
      </c>
      <c r="G137" s="1"/>
      <c r="H137" s="1"/>
      <c r="I137" s="20"/>
      <c r="J137" s="1"/>
      <c r="K137" s="5"/>
      <c r="L137" s="5"/>
      <c r="M137" s="5"/>
      <c r="N137" s="5"/>
      <c r="O137" s="5"/>
      <c r="P137" s="194">
        <f t="shared" si="33"/>
        <v>1.3719999999999999</v>
      </c>
    </row>
    <row r="138" spans="1:16" s="38" customFormat="1" ht="19.5" customHeight="1">
      <c r="A138" s="50"/>
      <c r="B138" s="56" t="s">
        <v>107</v>
      </c>
      <c r="C138" s="54" t="s">
        <v>79</v>
      </c>
      <c r="D138" s="5"/>
      <c r="E138" s="5"/>
      <c r="F138" s="5"/>
      <c r="G138" s="1"/>
      <c r="H138" s="1"/>
      <c r="I138" s="26"/>
      <c r="J138" s="1"/>
      <c r="K138" s="5"/>
      <c r="L138" s="5"/>
      <c r="M138" s="5"/>
      <c r="N138" s="5"/>
      <c r="O138" s="5"/>
      <c r="P138" s="8"/>
    </row>
    <row r="139" spans="1:16" s="38" customFormat="1" ht="19.5" customHeight="1">
      <c r="A139" s="49"/>
      <c r="B139" s="2"/>
      <c r="C139" s="48" t="s">
        <v>18</v>
      </c>
      <c r="D139" s="34">
        <f>+D131+D133+D136</f>
        <v>183.346</v>
      </c>
      <c r="E139" s="34">
        <f>+E131+E133+E136</f>
        <v>202.517</v>
      </c>
      <c r="F139" s="34">
        <f>+F131+F133+F136</f>
        <v>214.028</v>
      </c>
      <c r="G139" s="2"/>
      <c r="H139" s="2"/>
      <c r="I139" s="25"/>
      <c r="J139" s="2"/>
      <c r="K139" s="34"/>
      <c r="L139" s="34"/>
      <c r="M139" s="34"/>
      <c r="N139" s="34"/>
      <c r="O139" s="34"/>
      <c r="P139" s="9">
        <f t="shared" si="33"/>
        <v>599.891</v>
      </c>
    </row>
    <row r="140" spans="1:16" s="72" customFormat="1" ht="19.5" customHeight="1">
      <c r="A140" s="57"/>
      <c r="B140" s="58" t="s">
        <v>0</v>
      </c>
      <c r="C140" s="198" t="s">
        <v>16</v>
      </c>
      <c r="D140" s="264">
        <f>D137+D128+D104</f>
        <v>1228.08986</v>
      </c>
      <c r="E140" s="264">
        <f aca="true" t="shared" si="34" ref="E140:N140">E137+E128+E104</f>
        <v>270.9664</v>
      </c>
      <c r="F140" s="279">
        <f t="shared" si="34"/>
        <v>460.6774</v>
      </c>
      <c r="G140" s="262">
        <f t="shared" si="34"/>
        <v>671.0285</v>
      </c>
      <c r="H140" s="212">
        <f>H137+H128+H104</f>
        <v>802.2844999999999</v>
      </c>
      <c r="I140" s="262">
        <f t="shared" si="34"/>
        <v>1657.6964999999998</v>
      </c>
      <c r="J140" s="262">
        <f>J137+J128+J104</f>
        <v>746.8699</v>
      </c>
      <c r="K140" s="264">
        <f t="shared" si="34"/>
        <v>1370.0314</v>
      </c>
      <c r="L140" s="262">
        <f t="shared" si="34"/>
        <v>1438.6617</v>
      </c>
      <c r="M140" s="264">
        <f t="shared" si="34"/>
        <v>1341.0925</v>
      </c>
      <c r="N140" s="264">
        <f t="shared" si="34"/>
        <v>2287.137</v>
      </c>
      <c r="O140" s="264">
        <f>O137+O128+O104</f>
        <v>759.37018</v>
      </c>
      <c r="P140" s="200">
        <f t="shared" si="33"/>
        <v>13033.905840000001</v>
      </c>
    </row>
    <row r="141" spans="1:16" s="72" customFormat="1" ht="19.5" customHeight="1">
      <c r="A141" s="57"/>
      <c r="B141" s="61" t="s">
        <v>220</v>
      </c>
      <c r="C141" s="62" t="s">
        <v>79</v>
      </c>
      <c r="D141" s="223"/>
      <c r="E141" s="223"/>
      <c r="F141" s="280"/>
      <c r="G141" s="224"/>
      <c r="H141" s="281"/>
      <c r="I141" s="224"/>
      <c r="J141" s="224"/>
      <c r="K141" s="223"/>
      <c r="L141" s="224"/>
      <c r="M141" s="223"/>
      <c r="N141" s="223"/>
      <c r="O141" s="223"/>
      <c r="P141" s="15"/>
    </row>
    <row r="142" spans="1:16" s="72" customFormat="1" ht="19.5" customHeight="1" thickBot="1">
      <c r="A142" s="63"/>
      <c r="B142" s="64"/>
      <c r="C142" s="65" t="s">
        <v>18</v>
      </c>
      <c r="D142" s="256">
        <f>D139+D129+D105</f>
        <v>536649.346</v>
      </c>
      <c r="E142" s="256">
        <f aca="true" t="shared" si="35" ref="E142:N142">E139+E129+E105</f>
        <v>183184.65200000006</v>
      </c>
      <c r="F142" s="282">
        <f t="shared" si="35"/>
        <v>208549.17599999998</v>
      </c>
      <c r="G142" s="257">
        <f t="shared" si="35"/>
        <v>293806.763</v>
      </c>
      <c r="H142" s="283">
        <f>H139+H129+H105</f>
        <v>335601.382</v>
      </c>
      <c r="I142" s="257">
        <f t="shared" si="35"/>
        <v>722431.861</v>
      </c>
      <c r="J142" s="257">
        <f>J139+J129+J105</f>
        <v>302705.85000000003</v>
      </c>
      <c r="K142" s="256">
        <f t="shared" si="35"/>
        <v>355629.34400000004</v>
      </c>
      <c r="L142" s="257">
        <f t="shared" si="35"/>
        <v>480284.376</v>
      </c>
      <c r="M142" s="256">
        <f t="shared" si="35"/>
        <v>576382.513</v>
      </c>
      <c r="N142" s="256">
        <f t="shared" si="35"/>
        <v>710935.4999999999</v>
      </c>
      <c r="O142" s="256">
        <f>O139+O129+O105</f>
        <v>365307.2899999999</v>
      </c>
      <c r="P142" s="7">
        <f t="shared" si="33"/>
        <v>5071468.053</v>
      </c>
    </row>
    <row r="143" spans="15:16" ht="18.75">
      <c r="O143" s="66"/>
      <c r="P143" s="67" t="s">
        <v>92</v>
      </c>
    </row>
    <row r="146" spans="7:12" ht="18.75">
      <c r="G146" s="70"/>
      <c r="H146" s="70"/>
      <c r="I146" s="70"/>
      <c r="J146" s="70"/>
      <c r="L146" s="70"/>
    </row>
    <row r="147" spans="7:12" ht="18.75">
      <c r="G147" s="70"/>
      <c r="H147" s="70"/>
      <c r="I147" s="70"/>
      <c r="J147" s="70"/>
      <c r="L147" s="70"/>
    </row>
    <row r="148" spans="7:12" ht="18.75">
      <c r="G148" s="70"/>
      <c r="H148" s="70"/>
      <c r="I148" s="70"/>
      <c r="J148" s="70"/>
      <c r="L148" s="70"/>
    </row>
    <row r="149" spans="7:12" ht="18.75">
      <c r="G149" s="70"/>
      <c r="H149" s="70"/>
      <c r="I149" s="70"/>
      <c r="J149" s="70"/>
      <c r="L149" s="70"/>
    </row>
    <row r="150" spans="7:12" ht="18.75">
      <c r="G150" s="70"/>
      <c r="H150" s="70"/>
      <c r="I150" s="70"/>
      <c r="J150" s="70"/>
      <c r="L150" s="70"/>
    </row>
    <row r="151" spans="7:12" ht="18.75">
      <c r="G151" s="70"/>
      <c r="H151" s="70"/>
      <c r="I151" s="70"/>
      <c r="J151" s="70"/>
      <c r="L151" s="70"/>
    </row>
    <row r="152" spans="7:12" ht="18.75">
      <c r="G152" s="70"/>
      <c r="H152" s="70"/>
      <c r="I152" s="70"/>
      <c r="J152" s="70"/>
      <c r="L152" s="70"/>
    </row>
    <row r="153" spans="7:12" ht="18.75">
      <c r="G153" s="70"/>
      <c r="H153" s="70"/>
      <c r="I153" s="70"/>
      <c r="J153" s="70"/>
      <c r="L153" s="70"/>
    </row>
    <row r="154" spans="7:12" ht="18.75">
      <c r="G154" s="70"/>
      <c r="H154" s="70"/>
      <c r="I154" s="70"/>
      <c r="J154" s="70"/>
      <c r="L154" s="70"/>
    </row>
    <row r="155" spans="7:12" ht="18.75">
      <c r="G155" s="70"/>
      <c r="H155" s="70"/>
      <c r="I155" s="70"/>
      <c r="J155" s="70"/>
      <c r="L155" s="70"/>
    </row>
    <row r="156" spans="7:12" ht="18.75">
      <c r="G156" s="70"/>
      <c r="H156" s="70"/>
      <c r="I156" s="70"/>
      <c r="J156" s="70"/>
      <c r="L156" s="70"/>
    </row>
  </sheetData>
  <sheetProtection/>
  <mergeCells count="52">
    <mergeCell ref="A1:P1"/>
    <mergeCell ref="B5:B6"/>
    <mergeCell ref="B9:B10"/>
    <mergeCell ref="A11:B12"/>
    <mergeCell ref="B13:B14"/>
    <mergeCell ref="B31:B32"/>
    <mergeCell ref="B33:B34"/>
    <mergeCell ref="B15:B16"/>
    <mergeCell ref="B17:B18"/>
    <mergeCell ref="B21:B22"/>
    <mergeCell ref="B23:B24"/>
    <mergeCell ref="B25:B26"/>
    <mergeCell ref="B29:B30"/>
    <mergeCell ref="B37:B38"/>
    <mergeCell ref="A39:B40"/>
    <mergeCell ref="A41:B42"/>
    <mergeCell ref="A43:B44"/>
    <mergeCell ref="A45:B46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B88:B89"/>
    <mergeCell ref="A90:B91"/>
    <mergeCell ref="A92:B93"/>
    <mergeCell ref="A94:B95"/>
    <mergeCell ref="A96:B97"/>
    <mergeCell ref="B130:B131"/>
    <mergeCell ref="A98:B99"/>
    <mergeCell ref="A100:B101"/>
    <mergeCell ref="A102:B103"/>
    <mergeCell ref="A104:B105"/>
    <mergeCell ref="B106:B107"/>
    <mergeCell ref="B108:B109"/>
    <mergeCell ref="B132:B133"/>
    <mergeCell ref="B118:B119"/>
    <mergeCell ref="B120:B121"/>
    <mergeCell ref="B122:B123"/>
    <mergeCell ref="B124:B125"/>
    <mergeCell ref="B110:B111"/>
    <mergeCell ref="B112:B113"/>
    <mergeCell ref="B114:B115"/>
    <mergeCell ref="B116:B117"/>
    <mergeCell ref="B128:B129"/>
  </mergeCells>
  <printOptions/>
  <pageMargins left="0.7" right="0.7" top="0.75" bottom="0.75" header="0.3" footer="0.3"/>
  <pageSetup firstPageNumber="45" useFirstPageNumber="1" fitToHeight="2" fitToWidth="1" horizontalDpi="600" verticalDpi="600" orientation="landscape" paperSize="9" scale="36" r:id="rId1"/>
  <rowBreaks count="1" manualBreakCount="1">
    <brk id="7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zoomScale="50" zoomScaleNormal="50" zoomScalePageLayoutView="0" workbookViewId="0" topLeftCell="A1">
      <pane xSplit="3" ySplit="4" topLeftCell="D10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8" width="22.625" style="11" customWidth="1"/>
    <col min="9" max="10" width="22.625" style="70" customWidth="1"/>
    <col min="11" max="15" width="22.625" style="11" customWidth="1"/>
    <col min="16" max="16" width="25.625" style="37" customWidth="1"/>
    <col min="17" max="16384" width="9.00390625" style="38" customWidth="1"/>
  </cols>
  <sheetData>
    <row r="1" spans="1:16" ht="30.75" customHeight="1">
      <c r="A1" s="375" t="s">
        <v>104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ht="30.75" customHeight="1">
      <c r="B2" s="36"/>
    </row>
    <row r="3" spans="1:15" ht="19.5" customHeight="1" thickBot="1">
      <c r="A3" s="12"/>
      <c r="B3" s="39" t="s">
        <v>81</v>
      </c>
      <c r="C3" s="12"/>
      <c r="O3" s="12" t="s">
        <v>90</v>
      </c>
    </row>
    <row r="4" spans="1:16" ht="19.5" customHeight="1">
      <c r="A4" s="40"/>
      <c r="B4" s="41"/>
      <c r="C4" s="119"/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82" t="s">
        <v>7</v>
      </c>
      <c r="J4" s="82" t="s">
        <v>8</v>
      </c>
      <c r="K4" s="42" t="s">
        <v>9</v>
      </c>
      <c r="L4" s="42" t="s">
        <v>10</v>
      </c>
      <c r="M4" s="42" t="s">
        <v>11</v>
      </c>
      <c r="N4" s="42" t="s">
        <v>12</v>
      </c>
      <c r="O4" s="42" t="s">
        <v>13</v>
      </c>
      <c r="P4" s="43" t="s">
        <v>14</v>
      </c>
    </row>
    <row r="5" spans="1:16" ht="19.5" customHeight="1">
      <c r="A5" s="44" t="s">
        <v>0</v>
      </c>
      <c r="B5" s="382" t="s">
        <v>15</v>
      </c>
      <c r="C5" s="54" t="s">
        <v>16</v>
      </c>
      <c r="D5" s="284"/>
      <c r="E5" s="284">
        <v>0</v>
      </c>
      <c r="F5" s="285"/>
      <c r="G5" s="284">
        <v>0.064</v>
      </c>
      <c r="H5" s="286">
        <v>13.09</v>
      </c>
      <c r="I5" s="287">
        <v>660.287</v>
      </c>
      <c r="J5" s="285">
        <v>22.757</v>
      </c>
      <c r="K5" s="284">
        <v>0.018</v>
      </c>
      <c r="L5" s="284">
        <v>0.0232</v>
      </c>
      <c r="M5" s="285">
        <v>0.2895</v>
      </c>
      <c r="N5" s="285">
        <v>4.287</v>
      </c>
      <c r="O5" s="284">
        <v>34.3386</v>
      </c>
      <c r="P5" s="8">
        <f aca="true" t="shared" si="0" ref="P5:P10">SUM(D5:O5)</f>
        <v>735.1543</v>
      </c>
    </row>
    <row r="6" spans="1:16" ht="19.5" customHeight="1">
      <c r="A6" s="45" t="s">
        <v>17</v>
      </c>
      <c r="B6" s="383"/>
      <c r="C6" s="48" t="s">
        <v>18</v>
      </c>
      <c r="D6" s="288"/>
      <c r="E6" s="288">
        <v>4.58</v>
      </c>
      <c r="F6" s="289"/>
      <c r="G6" s="288">
        <v>13.702</v>
      </c>
      <c r="H6" s="290">
        <v>1302.04</v>
      </c>
      <c r="I6" s="289">
        <v>81894.358</v>
      </c>
      <c r="J6" s="289">
        <v>9237.969</v>
      </c>
      <c r="K6" s="288">
        <v>4.847</v>
      </c>
      <c r="L6" s="288">
        <v>1.682</v>
      </c>
      <c r="M6" s="289">
        <v>15.423</v>
      </c>
      <c r="N6" s="289">
        <v>66.579</v>
      </c>
      <c r="O6" s="288">
        <v>1006.679</v>
      </c>
      <c r="P6" s="9">
        <f t="shared" si="0"/>
        <v>93547.85899999998</v>
      </c>
    </row>
    <row r="7" spans="1:16" ht="19.5" customHeight="1">
      <c r="A7" s="45" t="s">
        <v>19</v>
      </c>
      <c r="B7" s="47" t="s">
        <v>20</v>
      </c>
      <c r="C7" s="54" t="s">
        <v>16</v>
      </c>
      <c r="D7" s="284"/>
      <c r="E7" s="284"/>
      <c r="F7" s="285"/>
      <c r="G7" s="284"/>
      <c r="H7" s="286">
        <v>0.052</v>
      </c>
      <c r="I7" s="285">
        <v>0.098</v>
      </c>
      <c r="J7" s="285">
        <v>0.165</v>
      </c>
      <c r="K7" s="284"/>
      <c r="L7" s="284">
        <v>0.0665</v>
      </c>
      <c r="M7" s="285"/>
      <c r="N7" s="285"/>
      <c r="O7" s="284"/>
      <c r="P7" s="8">
        <f t="shared" si="0"/>
        <v>0.3815</v>
      </c>
    </row>
    <row r="8" spans="1:16" ht="19.5" customHeight="1">
      <c r="A8" s="45" t="s">
        <v>21</v>
      </c>
      <c r="B8" s="48" t="s">
        <v>22</v>
      </c>
      <c r="C8" s="139" t="s">
        <v>18</v>
      </c>
      <c r="D8" s="288"/>
      <c r="E8" s="288"/>
      <c r="F8" s="289"/>
      <c r="G8" s="288"/>
      <c r="H8" s="290">
        <v>1.641</v>
      </c>
      <c r="I8" s="289">
        <v>0.608</v>
      </c>
      <c r="J8" s="289">
        <v>1.219</v>
      </c>
      <c r="K8" s="288"/>
      <c r="L8" s="288">
        <v>1.571</v>
      </c>
      <c r="M8" s="289"/>
      <c r="N8" s="289"/>
      <c r="O8" s="288"/>
      <c r="P8" s="9">
        <f t="shared" si="0"/>
        <v>5.039</v>
      </c>
    </row>
    <row r="9" spans="1:16" ht="19.5" customHeight="1">
      <c r="A9" s="44" t="s">
        <v>23</v>
      </c>
      <c r="B9" s="380" t="s">
        <v>114</v>
      </c>
      <c r="C9" s="54" t="s">
        <v>16</v>
      </c>
      <c r="D9" s="184"/>
      <c r="E9" s="26">
        <f>+E5+E7</f>
        <v>0</v>
      </c>
      <c r="F9" s="26"/>
      <c r="G9" s="26">
        <f aca="true" t="shared" si="1" ref="G9:I10">+G5+G7</f>
        <v>0.064</v>
      </c>
      <c r="H9" s="26">
        <f t="shared" si="1"/>
        <v>13.142</v>
      </c>
      <c r="I9" s="28">
        <f t="shared" si="1"/>
        <v>660.385</v>
      </c>
      <c r="J9" s="28">
        <f aca="true" t="shared" si="2" ref="J9:L10">+J5+J7</f>
        <v>22.922</v>
      </c>
      <c r="K9" s="26">
        <f t="shared" si="2"/>
        <v>0.018</v>
      </c>
      <c r="L9" s="28">
        <f t="shared" si="2"/>
        <v>0.0897</v>
      </c>
      <c r="M9" s="28">
        <f aca="true" t="shared" si="3" ref="M9:O10">+M5+M7</f>
        <v>0.2895</v>
      </c>
      <c r="N9" s="28">
        <f t="shared" si="3"/>
        <v>4.287</v>
      </c>
      <c r="O9" s="28">
        <f t="shared" si="3"/>
        <v>34.3386</v>
      </c>
      <c r="P9" s="8">
        <f t="shared" si="0"/>
        <v>735.5358000000001</v>
      </c>
    </row>
    <row r="10" spans="1:16" ht="19.5" customHeight="1">
      <c r="A10" s="49"/>
      <c r="B10" s="381"/>
      <c r="C10" s="48" t="s">
        <v>18</v>
      </c>
      <c r="D10" s="25"/>
      <c r="E10" s="25">
        <f>+E6+E8</f>
        <v>4.58</v>
      </c>
      <c r="F10" s="25"/>
      <c r="G10" s="25">
        <f t="shared" si="1"/>
        <v>13.702</v>
      </c>
      <c r="H10" s="25">
        <f t="shared" si="1"/>
        <v>1303.681</v>
      </c>
      <c r="I10" s="86">
        <f t="shared" si="1"/>
        <v>81894.96599999999</v>
      </c>
      <c r="J10" s="86">
        <f t="shared" si="2"/>
        <v>9239.187999999998</v>
      </c>
      <c r="K10" s="25">
        <f t="shared" si="2"/>
        <v>4.847</v>
      </c>
      <c r="L10" s="86">
        <f t="shared" si="2"/>
        <v>3.253</v>
      </c>
      <c r="M10" s="86">
        <f t="shared" si="3"/>
        <v>15.423</v>
      </c>
      <c r="N10" s="86">
        <f t="shared" si="3"/>
        <v>66.579</v>
      </c>
      <c r="O10" s="86">
        <f t="shared" si="3"/>
        <v>1006.679</v>
      </c>
      <c r="P10" s="9">
        <f t="shared" si="0"/>
        <v>93552.89799999997</v>
      </c>
    </row>
    <row r="11" spans="1:16" ht="19.5" customHeight="1">
      <c r="A11" s="376" t="s">
        <v>25</v>
      </c>
      <c r="B11" s="377"/>
      <c r="C11" s="54" t="s">
        <v>16</v>
      </c>
      <c r="D11" s="284">
        <v>0.1766</v>
      </c>
      <c r="E11" s="284">
        <v>0.2506</v>
      </c>
      <c r="F11" s="285">
        <v>0.1604</v>
      </c>
      <c r="G11" s="284">
        <v>0.2344</v>
      </c>
      <c r="H11" s="286">
        <v>2.8301</v>
      </c>
      <c r="I11" s="285">
        <v>1640.5342</v>
      </c>
      <c r="J11" s="285">
        <v>7257.3961</v>
      </c>
      <c r="K11" s="284">
        <v>4421.9707</v>
      </c>
      <c r="L11" s="284">
        <v>5176.6624</v>
      </c>
      <c r="M11" s="285">
        <v>1391.2478</v>
      </c>
      <c r="N11" s="285">
        <v>2.475</v>
      </c>
      <c r="O11" s="284">
        <v>0.0094</v>
      </c>
      <c r="P11" s="8">
        <f aca="true" t="shared" si="4" ref="P11:P62">SUM(D11:O11)</f>
        <v>19893.947699999997</v>
      </c>
    </row>
    <row r="12" spans="1:16" ht="19.5" customHeight="1">
      <c r="A12" s="378"/>
      <c r="B12" s="379"/>
      <c r="C12" s="48" t="s">
        <v>18</v>
      </c>
      <c r="D12" s="288">
        <v>75.989</v>
      </c>
      <c r="E12" s="288">
        <v>86.199</v>
      </c>
      <c r="F12" s="289">
        <v>44.01</v>
      </c>
      <c r="G12" s="288">
        <v>40.217</v>
      </c>
      <c r="H12" s="290">
        <v>1478.916</v>
      </c>
      <c r="I12" s="289">
        <v>448283.071</v>
      </c>
      <c r="J12" s="289">
        <v>2124208.903</v>
      </c>
      <c r="K12" s="288">
        <v>1676051.94</v>
      </c>
      <c r="L12" s="288">
        <v>1442229.492</v>
      </c>
      <c r="M12" s="289">
        <v>571205.367</v>
      </c>
      <c r="N12" s="289">
        <v>1400.1</v>
      </c>
      <c r="O12" s="288">
        <v>0.609</v>
      </c>
      <c r="P12" s="9">
        <f t="shared" si="4"/>
        <v>6265104.812999999</v>
      </c>
    </row>
    <row r="13" spans="1:16" ht="19.5" customHeight="1">
      <c r="A13" s="50"/>
      <c r="B13" s="382" t="s">
        <v>26</v>
      </c>
      <c r="C13" s="54" t="s">
        <v>16</v>
      </c>
      <c r="D13" s="284">
        <v>0.198</v>
      </c>
      <c r="E13" s="284">
        <v>0.1704</v>
      </c>
      <c r="F13" s="285">
        <v>0.4505</v>
      </c>
      <c r="G13" s="284">
        <v>0.6554</v>
      </c>
      <c r="H13" s="286">
        <v>2.3303</v>
      </c>
      <c r="I13" s="285">
        <v>8.2932</v>
      </c>
      <c r="J13" s="285">
        <v>2.4822</v>
      </c>
      <c r="K13" s="284">
        <v>7.566</v>
      </c>
      <c r="L13" s="284">
        <v>0.3553</v>
      </c>
      <c r="M13" s="285">
        <v>0.7392</v>
      </c>
      <c r="N13" s="285">
        <v>0.337</v>
      </c>
      <c r="O13" s="284">
        <v>0.4626</v>
      </c>
      <c r="P13" s="8">
        <f t="shared" si="4"/>
        <v>24.0401</v>
      </c>
    </row>
    <row r="14" spans="1:16" ht="19.5" customHeight="1">
      <c r="A14" s="44" t="s">
        <v>0</v>
      </c>
      <c r="B14" s="383"/>
      <c r="C14" s="48" t="s">
        <v>18</v>
      </c>
      <c r="D14" s="288">
        <v>807.515</v>
      </c>
      <c r="E14" s="288">
        <v>772.122</v>
      </c>
      <c r="F14" s="289">
        <v>2093.249</v>
      </c>
      <c r="G14" s="288">
        <v>1158.909</v>
      </c>
      <c r="H14" s="290">
        <v>2948.562</v>
      </c>
      <c r="I14" s="289">
        <v>7548.105</v>
      </c>
      <c r="J14" s="289">
        <v>4021.866</v>
      </c>
      <c r="K14" s="288">
        <v>18171.503</v>
      </c>
      <c r="L14" s="288">
        <v>1009.818</v>
      </c>
      <c r="M14" s="289">
        <v>1753.94</v>
      </c>
      <c r="N14" s="289">
        <v>1258.842</v>
      </c>
      <c r="O14" s="288">
        <v>2848.34</v>
      </c>
      <c r="P14" s="9">
        <f t="shared" si="4"/>
        <v>44392.77100000001</v>
      </c>
    </row>
    <row r="15" spans="1:16" ht="19.5" customHeight="1">
      <c r="A15" s="45" t="s">
        <v>27</v>
      </c>
      <c r="B15" s="382" t="s">
        <v>28</v>
      </c>
      <c r="C15" s="54" t="s">
        <v>16</v>
      </c>
      <c r="D15" s="284">
        <v>5.9428</v>
      </c>
      <c r="E15" s="284">
        <v>0.2148</v>
      </c>
      <c r="F15" s="285"/>
      <c r="G15" s="284">
        <v>0.2445</v>
      </c>
      <c r="H15" s="286">
        <v>2.9009</v>
      </c>
      <c r="I15" s="285">
        <v>14.1385</v>
      </c>
      <c r="J15" s="285">
        <v>0.4693</v>
      </c>
      <c r="K15" s="284">
        <v>1.91</v>
      </c>
      <c r="L15" s="284">
        <v>0.6806</v>
      </c>
      <c r="M15" s="285">
        <v>2.1922</v>
      </c>
      <c r="N15" s="285">
        <v>0.881</v>
      </c>
      <c r="O15" s="284">
        <v>0.7168</v>
      </c>
      <c r="P15" s="8">
        <f t="shared" si="4"/>
        <v>30.2914</v>
      </c>
    </row>
    <row r="16" spans="1:16" ht="19.5" customHeight="1">
      <c r="A16" s="45" t="s">
        <v>0</v>
      </c>
      <c r="B16" s="383"/>
      <c r="C16" s="48" t="s">
        <v>18</v>
      </c>
      <c r="D16" s="288">
        <v>7399.292</v>
      </c>
      <c r="E16" s="288">
        <v>340.781</v>
      </c>
      <c r="F16" s="289"/>
      <c r="G16" s="288">
        <v>261.584</v>
      </c>
      <c r="H16" s="290">
        <v>2734.016</v>
      </c>
      <c r="I16" s="289">
        <v>7335.861</v>
      </c>
      <c r="J16" s="289">
        <v>390.147</v>
      </c>
      <c r="K16" s="288">
        <v>2129.153</v>
      </c>
      <c r="L16" s="288">
        <v>793.646</v>
      </c>
      <c r="M16" s="289">
        <v>2156.201</v>
      </c>
      <c r="N16" s="289">
        <v>1031.51</v>
      </c>
      <c r="O16" s="288">
        <v>1274.864</v>
      </c>
      <c r="P16" s="9">
        <f t="shared" si="4"/>
        <v>25847.055</v>
      </c>
    </row>
    <row r="17" spans="1:16" ht="19.5" customHeight="1">
      <c r="A17" s="45" t="s">
        <v>29</v>
      </c>
      <c r="B17" s="382" t="s">
        <v>30</v>
      </c>
      <c r="C17" s="54" t="s">
        <v>16</v>
      </c>
      <c r="D17" s="284">
        <v>35.4592</v>
      </c>
      <c r="E17" s="284">
        <v>26.8026</v>
      </c>
      <c r="F17" s="285">
        <v>49.9853</v>
      </c>
      <c r="G17" s="284">
        <v>41.532</v>
      </c>
      <c r="H17" s="286">
        <v>47.5188</v>
      </c>
      <c r="I17" s="285">
        <v>199.8462</v>
      </c>
      <c r="J17" s="285">
        <v>621.0024</v>
      </c>
      <c r="K17" s="284">
        <v>118.1568</v>
      </c>
      <c r="L17" s="284">
        <v>152.2343</v>
      </c>
      <c r="M17" s="285">
        <v>60.9453</v>
      </c>
      <c r="N17" s="285">
        <v>52.2912</v>
      </c>
      <c r="O17" s="284">
        <v>65.53</v>
      </c>
      <c r="P17" s="8">
        <f t="shared" si="4"/>
        <v>1471.3041</v>
      </c>
    </row>
    <row r="18" spans="1:16" ht="19.5" customHeight="1">
      <c r="A18" s="45"/>
      <c r="B18" s="383"/>
      <c r="C18" s="48" t="s">
        <v>18</v>
      </c>
      <c r="D18" s="288">
        <v>40907.264</v>
      </c>
      <c r="E18" s="288">
        <v>34790.786</v>
      </c>
      <c r="F18" s="289">
        <v>56610.153</v>
      </c>
      <c r="G18" s="288">
        <v>51490.307</v>
      </c>
      <c r="H18" s="290">
        <v>48411.121</v>
      </c>
      <c r="I18" s="289">
        <v>76839.807</v>
      </c>
      <c r="J18" s="289">
        <v>179193.385</v>
      </c>
      <c r="K18" s="288">
        <v>87472.476</v>
      </c>
      <c r="L18" s="288">
        <v>130916.714</v>
      </c>
      <c r="M18" s="289">
        <v>84051.885</v>
      </c>
      <c r="N18" s="289">
        <v>60028.758</v>
      </c>
      <c r="O18" s="288">
        <v>98167.78</v>
      </c>
      <c r="P18" s="9">
        <f t="shared" si="4"/>
        <v>948880.4360000001</v>
      </c>
    </row>
    <row r="19" spans="1:16" ht="19.5" customHeight="1">
      <c r="A19" s="45" t="s">
        <v>31</v>
      </c>
      <c r="B19" s="148" t="s">
        <v>108</v>
      </c>
      <c r="C19" s="54" t="s">
        <v>16</v>
      </c>
      <c r="D19" s="284">
        <v>8.1131</v>
      </c>
      <c r="E19" s="284">
        <v>0.4178</v>
      </c>
      <c r="F19" s="285">
        <v>3.3727</v>
      </c>
      <c r="G19" s="284">
        <v>0.3236</v>
      </c>
      <c r="H19" s="286">
        <v>2.5882</v>
      </c>
      <c r="I19" s="285">
        <v>20.5855</v>
      </c>
      <c r="J19" s="285">
        <v>125.334</v>
      </c>
      <c r="K19" s="284">
        <v>60.3522</v>
      </c>
      <c r="L19" s="284">
        <v>241.7707</v>
      </c>
      <c r="M19" s="285">
        <v>1.201</v>
      </c>
      <c r="N19" s="285">
        <v>0.2764</v>
      </c>
      <c r="O19" s="284">
        <v>2.4522</v>
      </c>
      <c r="P19" s="8">
        <f t="shared" si="4"/>
        <v>466.78740000000005</v>
      </c>
    </row>
    <row r="20" spans="1:16" ht="19.5" customHeight="1">
      <c r="A20" s="45"/>
      <c r="B20" s="46" t="s">
        <v>109</v>
      </c>
      <c r="C20" s="48" t="s">
        <v>18</v>
      </c>
      <c r="D20" s="288">
        <v>7004.415</v>
      </c>
      <c r="E20" s="288">
        <v>511.288</v>
      </c>
      <c r="F20" s="289">
        <v>3477.678</v>
      </c>
      <c r="G20" s="288">
        <v>341.433</v>
      </c>
      <c r="H20" s="290">
        <v>1895.534</v>
      </c>
      <c r="I20" s="289">
        <v>6678.411</v>
      </c>
      <c r="J20" s="289">
        <v>52414.216</v>
      </c>
      <c r="K20" s="288">
        <v>46699.382</v>
      </c>
      <c r="L20" s="288">
        <v>143316.387</v>
      </c>
      <c r="M20" s="289">
        <v>1318.132</v>
      </c>
      <c r="N20" s="289">
        <v>293.942</v>
      </c>
      <c r="O20" s="288">
        <v>4340.467</v>
      </c>
      <c r="P20" s="9">
        <f t="shared" si="4"/>
        <v>268291.285</v>
      </c>
    </row>
    <row r="21" spans="1:16" ht="19.5" customHeight="1">
      <c r="A21" s="45" t="s">
        <v>23</v>
      </c>
      <c r="B21" s="382" t="s">
        <v>32</v>
      </c>
      <c r="C21" s="54" t="s">
        <v>16</v>
      </c>
      <c r="D21" s="284">
        <v>24.547</v>
      </c>
      <c r="E21" s="284">
        <v>24.2898</v>
      </c>
      <c r="F21" s="285">
        <v>53.0621</v>
      </c>
      <c r="G21" s="284">
        <v>32.8152</v>
      </c>
      <c r="H21" s="286">
        <v>19.1718</v>
      </c>
      <c r="I21" s="285">
        <v>1567.8809</v>
      </c>
      <c r="J21" s="285">
        <v>2076.229</v>
      </c>
      <c r="K21" s="284">
        <v>7.7372</v>
      </c>
      <c r="L21" s="284">
        <v>0.8844</v>
      </c>
      <c r="M21" s="285">
        <v>10.8734</v>
      </c>
      <c r="N21" s="285">
        <v>35.7303</v>
      </c>
      <c r="O21" s="284">
        <v>64.92</v>
      </c>
      <c r="P21" s="8">
        <f t="shared" si="4"/>
        <v>3918.1411</v>
      </c>
    </row>
    <row r="22" spans="1:16" ht="19.5" customHeight="1">
      <c r="A22" s="50"/>
      <c r="B22" s="383"/>
      <c r="C22" s="139" t="s">
        <v>18</v>
      </c>
      <c r="D22" s="288">
        <v>11987.921</v>
      </c>
      <c r="E22" s="288">
        <v>10542.326</v>
      </c>
      <c r="F22" s="289">
        <v>17188.922</v>
      </c>
      <c r="G22" s="288">
        <v>9966.835</v>
      </c>
      <c r="H22" s="290">
        <v>4656.498</v>
      </c>
      <c r="I22" s="289">
        <v>435394.889</v>
      </c>
      <c r="J22" s="289">
        <v>631439.666</v>
      </c>
      <c r="K22" s="288">
        <v>2528.982</v>
      </c>
      <c r="L22" s="288">
        <v>344.474</v>
      </c>
      <c r="M22" s="289">
        <v>5616.678</v>
      </c>
      <c r="N22" s="289">
        <v>13942.642</v>
      </c>
      <c r="O22" s="288">
        <v>25144.306</v>
      </c>
      <c r="P22" s="9">
        <f t="shared" si="4"/>
        <v>1168754.1390000002</v>
      </c>
    </row>
    <row r="23" spans="1:16" ht="19.5" customHeight="1">
      <c r="A23" s="50"/>
      <c r="B23" s="380" t="s">
        <v>114</v>
      </c>
      <c r="C23" s="54" t="s">
        <v>16</v>
      </c>
      <c r="D23" s="184">
        <f aca="true" t="shared" si="5" ref="D23:K23">+D13+D15+D17+D19+D21</f>
        <v>74.2601</v>
      </c>
      <c r="E23" s="26">
        <f t="shared" si="5"/>
        <v>51.8954</v>
      </c>
      <c r="F23" s="26">
        <f t="shared" si="5"/>
        <v>106.8706</v>
      </c>
      <c r="G23" s="26">
        <f t="shared" si="5"/>
        <v>75.57069999999999</v>
      </c>
      <c r="H23" s="26">
        <f t="shared" si="5"/>
        <v>74.51</v>
      </c>
      <c r="I23" s="28">
        <f t="shared" si="5"/>
        <v>1810.7443</v>
      </c>
      <c r="J23" s="28">
        <f t="shared" si="5"/>
        <v>2825.5168999999996</v>
      </c>
      <c r="K23" s="26">
        <f t="shared" si="5"/>
        <v>195.72220000000002</v>
      </c>
      <c r="L23" s="28">
        <f aca="true" t="shared" si="6" ref="L23:O24">+L13+L15+L17+L19+L21</f>
        <v>395.9253</v>
      </c>
      <c r="M23" s="28">
        <f t="shared" si="6"/>
        <v>75.9511</v>
      </c>
      <c r="N23" s="28">
        <f>+N13+N15+N17+N19+N21</f>
        <v>89.51590000000002</v>
      </c>
      <c r="O23" s="28">
        <f t="shared" si="6"/>
        <v>134.0816</v>
      </c>
      <c r="P23" s="8">
        <f>SUM(D23:O23)</f>
        <v>5910.5641000000005</v>
      </c>
    </row>
    <row r="24" spans="1:16" ht="19.5" customHeight="1">
      <c r="A24" s="49"/>
      <c r="B24" s="381"/>
      <c r="C24" s="48" t="s">
        <v>18</v>
      </c>
      <c r="D24" s="25">
        <f aca="true" t="shared" si="7" ref="D24:I24">+D14+D16+D18+D20+D22</f>
        <v>68106.407</v>
      </c>
      <c r="E24" s="25">
        <f t="shared" si="7"/>
        <v>46957.303</v>
      </c>
      <c r="F24" s="25">
        <f t="shared" si="7"/>
        <v>79370.00200000001</v>
      </c>
      <c r="G24" s="25">
        <f t="shared" si="7"/>
        <v>63219.068</v>
      </c>
      <c r="H24" s="25">
        <f t="shared" si="7"/>
        <v>60645.731</v>
      </c>
      <c r="I24" s="86">
        <f t="shared" si="7"/>
        <v>533797.0730000001</v>
      </c>
      <c r="J24" s="86">
        <f>+J14+J16+J18+J20+J22</f>
        <v>867459.28</v>
      </c>
      <c r="K24" s="25">
        <f>+K14+K16+K18+K20+K22</f>
        <v>157001.49599999998</v>
      </c>
      <c r="L24" s="86">
        <f t="shared" si="6"/>
        <v>276381.039</v>
      </c>
      <c r="M24" s="86">
        <f t="shared" si="6"/>
        <v>94896.836</v>
      </c>
      <c r="N24" s="86">
        <f>+N14+N16+N18+N20+N22</f>
        <v>76555.694</v>
      </c>
      <c r="O24" s="86">
        <f t="shared" si="6"/>
        <v>131775.757</v>
      </c>
      <c r="P24" s="9">
        <f>SUM(D24:O24)</f>
        <v>2456165.6860000007</v>
      </c>
    </row>
    <row r="25" spans="1:16" ht="19.5" customHeight="1">
      <c r="A25" s="44" t="s">
        <v>0</v>
      </c>
      <c r="B25" s="382" t="s">
        <v>33</v>
      </c>
      <c r="C25" s="54" t="s">
        <v>16</v>
      </c>
      <c r="D25" s="284">
        <v>172.5292</v>
      </c>
      <c r="E25" s="284">
        <v>221.9438</v>
      </c>
      <c r="F25" s="285">
        <v>131.6738</v>
      </c>
      <c r="G25" s="284">
        <v>183.7516</v>
      </c>
      <c r="H25" s="286">
        <v>128.3026</v>
      </c>
      <c r="I25" s="285">
        <v>100.7185</v>
      </c>
      <c r="J25" s="285">
        <v>145.0629</v>
      </c>
      <c r="K25" s="284">
        <v>160.3847</v>
      </c>
      <c r="L25" s="284">
        <v>212.5335</v>
      </c>
      <c r="M25" s="285">
        <v>228.111</v>
      </c>
      <c r="N25" s="285">
        <v>316.4444</v>
      </c>
      <c r="O25" s="284">
        <v>371.6182</v>
      </c>
      <c r="P25" s="8">
        <f t="shared" si="4"/>
        <v>2373.0741999999996</v>
      </c>
    </row>
    <row r="26" spans="1:16" ht="19.5" customHeight="1">
      <c r="A26" s="45" t="s">
        <v>34</v>
      </c>
      <c r="B26" s="383"/>
      <c r="C26" s="48" t="s">
        <v>18</v>
      </c>
      <c r="D26" s="288">
        <v>176481.868</v>
      </c>
      <c r="E26" s="288">
        <v>220622.411</v>
      </c>
      <c r="F26" s="289">
        <v>153533.596</v>
      </c>
      <c r="G26" s="288">
        <v>184472.412</v>
      </c>
      <c r="H26" s="290">
        <v>128607.194</v>
      </c>
      <c r="I26" s="289">
        <v>116366.22</v>
      </c>
      <c r="J26" s="289">
        <v>146822.098</v>
      </c>
      <c r="K26" s="288">
        <v>168975.297</v>
      </c>
      <c r="L26" s="288">
        <v>184004.716</v>
      </c>
      <c r="M26" s="289">
        <v>217101.553</v>
      </c>
      <c r="N26" s="289">
        <v>270571.098</v>
      </c>
      <c r="O26" s="288">
        <v>320176.359</v>
      </c>
      <c r="P26" s="9">
        <f t="shared" si="4"/>
        <v>2287734.822</v>
      </c>
    </row>
    <row r="27" spans="1:16" ht="19.5" customHeight="1">
      <c r="A27" s="45" t="s">
        <v>35</v>
      </c>
      <c r="B27" s="47" t="s">
        <v>20</v>
      </c>
      <c r="C27" s="54" t="s">
        <v>16</v>
      </c>
      <c r="D27" s="284">
        <v>5.5426</v>
      </c>
      <c r="E27" s="284">
        <v>0.6852</v>
      </c>
      <c r="F27" s="285">
        <v>12.1105</v>
      </c>
      <c r="G27" s="284">
        <v>3.9162</v>
      </c>
      <c r="H27" s="286">
        <v>11.1396</v>
      </c>
      <c r="I27" s="285">
        <v>35.2225</v>
      </c>
      <c r="J27" s="285">
        <v>67.3624</v>
      </c>
      <c r="K27" s="284">
        <v>20.5338</v>
      </c>
      <c r="L27" s="284">
        <v>26.0873</v>
      </c>
      <c r="M27" s="285">
        <v>14.9642</v>
      </c>
      <c r="N27" s="285">
        <v>9.5168</v>
      </c>
      <c r="O27" s="284">
        <v>3.6692</v>
      </c>
      <c r="P27" s="8">
        <f t="shared" si="4"/>
        <v>210.75029999999995</v>
      </c>
    </row>
    <row r="28" spans="1:16" ht="19.5" customHeight="1">
      <c r="A28" s="45" t="s">
        <v>36</v>
      </c>
      <c r="B28" s="48" t="s">
        <v>110</v>
      </c>
      <c r="C28" s="48" t="s">
        <v>18</v>
      </c>
      <c r="D28" s="288">
        <v>3354.685</v>
      </c>
      <c r="E28" s="288">
        <v>716.594</v>
      </c>
      <c r="F28" s="289">
        <v>9128.354</v>
      </c>
      <c r="G28" s="288">
        <v>3487.297</v>
      </c>
      <c r="H28" s="290">
        <v>5486.141</v>
      </c>
      <c r="I28" s="289">
        <v>11728.716</v>
      </c>
      <c r="J28" s="289">
        <v>19371.038</v>
      </c>
      <c r="K28" s="288">
        <v>9836.625</v>
      </c>
      <c r="L28" s="288">
        <v>11566.567</v>
      </c>
      <c r="M28" s="289">
        <v>9977.966</v>
      </c>
      <c r="N28" s="289">
        <v>8122.921</v>
      </c>
      <c r="O28" s="288">
        <v>4534.983</v>
      </c>
      <c r="P28" s="9">
        <f t="shared" si="4"/>
        <v>97311.88699999999</v>
      </c>
    </row>
    <row r="29" spans="1:16" ht="19.5" customHeight="1">
      <c r="A29" s="44" t="s">
        <v>23</v>
      </c>
      <c r="B29" s="380" t="s">
        <v>114</v>
      </c>
      <c r="C29" s="140" t="s">
        <v>16</v>
      </c>
      <c r="D29" s="184">
        <f>+D25+D27</f>
        <v>178.0718</v>
      </c>
      <c r="E29" s="26">
        <f aca="true" t="shared" si="8" ref="E29:K29">+E25+E27</f>
        <v>222.62900000000002</v>
      </c>
      <c r="F29" s="26">
        <f t="shared" si="8"/>
        <v>143.7843</v>
      </c>
      <c r="G29" s="26">
        <f t="shared" si="8"/>
        <v>187.6678</v>
      </c>
      <c r="H29" s="26">
        <f t="shared" si="8"/>
        <v>139.4422</v>
      </c>
      <c r="I29" s="28">
        <f>+I25+I27</f>
        <v>135.941</v>
      </c>
      <c r="J29" s="28">
        <f t="shared" si="8"/>
        <v>212.4253</v>
      </c>
      <c r="K29" s="26">
        <f t="shared" si="8"/>
        <v>180.9185</v>
      </c>
      <c r="L29" s="28">
        <f aca="true" t="shared" si="9" ref="L29:O30">+L25+L27</f>
        <v>238.6208</v>
      </c>
      <c r="M29" s="28">
        <f t="shared" si="9"/>
        <v>243.0752</v>
      </c>
      <c r="N29" s="28">
        <f t="shared" si="9"/>
        <v>325.96119999999996</v>
      </c>
      <c r="O29" s="28">
        <f t="shared" si="9"/>
        <v>375.2874</v>
      </c>
      <c r="P29" s="8">
        <f>SUM(D29:O29)</f>
        <v>2583.8245</v>
      </c>
    </row>
    <row r="30" spans="1:16" ht="19.5" customHeight="1">
      <c r="A30" s="49"/>
      <c r="B30" s="381"/>
      <c r="C30" s="48" t="s">
        <v>18</v>
      </c>
      <c r="D30" s="25">
        <f>+D26+D28</f>
        <v>179836.55299999999</v>
      </c>
      <c r="E30" s="25">
        <f aca="true" t="shared" si="10" ref="E30:K30">+E26+E28</f>
        <v>221339.005</v>
      </c>
      <c r="F30" s="25">
        <f t="shared" si="10"/>
        <v>162661.94999999998</v>
      </c>
      <c r="G30" s="25">
        <f t="shared" si="10"/>
        <v>187959.709</v>
      </c>
      <c r="H30" s="25">
        <f t="shared" si="10"/>
        <v>134093.335</v>
      </c>
      <c r="I30" s="86">
        <f>+I26+I28</f>
        <v>128094.936</v>
      </c>
      <c r="J30" s="86">
        <f t="shared" si="10"/>
        <v>166193.136</v>
      </c>
      <c r="K30" s="25">
        <f t="shared" si="10"/>
        <v>178811.922</v>
      </c>
      <c r="L30" s="86">
        <f t="shared" si="9"/>
        <v>195571.283</v>
      </c>
      <c r="M30" s="86">
        <f t="shared" si="9"/>
        <v>227079.51900000003</v>
      </c>
      <c r="N30" s="86">
        <f t="shared" si="9"/>
        <v>278694.019</v>
      </c>
      <c r="O30" s="86">
        <f t="shared" si="9"/>
        <v>324711.342</v>
      </c>
      <c r="P30" s="9">
        <f>SUM(D30:O30)</f>
        <v>2385046.7090000003</v>
      </c>
    </row>
    <row r="31" spans="1:16" ht="19.5" customHeight="1">
      <c r="A31" s="44" t="s">
        <v>0</v>
      </c>
      <c r="B31" s="382" t="s">
        <v>37</v>
      </c>
      <c r="C31" s="54" t="s">
        <v>16</v>
      </c>
      <c r="D31" s="284">
        <v>215.0191</v>
      </c>
      <c r="E31" s="284">
        <v>15.1238</v>
      </c>
      <c r="F31" s="285">
        <v>10.8758</v>
      </c>
      <c r="G31" s="284">
        <v>22.0461</v>
      </c>
      <c r="H31" s="286">
        <v>10.9761</v>
      </c>
      <c r="I31" s="285">
        <v>165.8008</v>
      </c>
      <c r="J31" s="285">
        <v>49.032</v>
      </c>
      <c r="K31" s="284">
        <v>0</v>
      </c>
      <c r="L31" s="284">
        <v>0.1314</v>
      </c>
      <c r="M31" s="285">
        <v>0.8148</v>
      </c>
      <c r="N31" s="285">
        <v>4.012</v>
      </c>
      <c r="O31" s="284">
        <v>10.3735</v>
      </c>
      <c r="P31" s="8">
        <f t="shared" si="4"/>
        <v>504.2053999999999</v>
      </c>
    </row>
    <row r="32" spans="1:16" ht="19.5" customHeight="1">
      <c r="A32" s="45" t="s">
        <v>38</v>
      </c>
      <c r="B32" s="383"/>
      <c r="C32" s="48" t="s">
        <v>18</v>
      </c>
      <c r="D32" s="288">
        <v>38668.478</v>
      </c>
      <c r="E32" s="288">
        <v>4050.138</v>
      </c>
      <c r="F32" s="289">
        <v>2100.638</v>
      </c>
      <c r="G32" s="288">
        <v>3229.166</v>
      </c>
      <c r="H32" s="290">
        <v>1147.999</v>
      </c>
      <c r="I32" s="289">
        <v>3617.487</v>
      </c>
      <c r="J32" s="289">
        <v>487.956</v>
      </c>
      <c r="K32" s="288">
        <v>2.03</v>
      </c>
      <c r="L32" s="288">
        <v>51.3</v>
      </c>
      <c r="M32" s="289">
        <v>437.418</v>
      </c>
      <c r="N32" s="289">
        <v>1861.533</v>
      </c>
      <c r="O32" s="288">
        <v>6187.549</v>
      </c>
      <c r="P32" s="9">
        <f t="shared" si="4"/>
        <v>61841.692</v>
      </c>
    </row>
    <row r="33" spans="1:16" ht="19.5" customHeight="1">
      <c r="A33" s="45" t="s">
        <v>0</v>
      </c>
      <c r="B33" s="382" t="s">
        <v>39</v>
      </c>
      <c r="C33" s="54" t="s">
        <v>16</v>
      </c>
      <c r="D33" s="284">
        <v>2.1544</v>
      </c>
      <c r="E33" s="284">
        <v>0.1953</v>
      </c>
      <c r="F33" s="285">
        <v>1.1334</v>
      </c>
      <c r="G33" s="284">
        <v>1.6344</v>
      </c>
      <c r="H33" s="286">
        <v>0.1178</v>
      </c>
      <c r="I33" s="285">
        <v>0.0245</v>
      </c>
      <c r="J33" s="285"/>
      <c r="K33" s="284"/>
      <c r="L33" s="284"/>
      <c r="M33" s="285">
        <v>0.02</v>
      </c>
      <c r="N33" s="285">
        <v>0.47</v>
      </c>
      <c r="O33" s="284">
        <v>0.5567</v>
      </c>
      <c r="P33" s="8">
        <f t="shared" si="4"/>
        <v>6.306499999999999</v>
      </c>
    </row>
    <row r="34" spans="1:16" ht="19.5" customHeight="1">
      <c r="A34" s="45" t="s">
        <v>40</v>
      </c>
      <c r="B34" s="383"/>
      <c r="C34" s="48" t="s">
        <v>18</v>
      </c>
      <c r="D34" s="288">
        <v>354.709</v>
      </c>
      <c r="E34" s="288">
        <v>37.194</v>
      </c>
      <c r="F34" s="289">
        <v>204.216</v>
      </c>
      <c r="G34" s="288">
        <v>74.515</v>
      </c>
      <c r="H34" s="290">
        <v>3.811</v>
      </c>
      <c r="I34" s="289">
        <v>0.538</v>
      </c>
      <c r="J34" s="289"/>
      <c r="K34" s="288"/>
      <c r="L34" s="288"/>
      <c r="M34" s="289">
        <v>11.598</v>
      </c>
      <c r="N34" s="289">
        <v>231.483</v>
      </c>
      <c r="O34" s="288">
        <v>311.742</v>
      </c>
      <c r="P34" s="9">
        <f t="shared" si="4"/>
        <v>1229.806</v>
      </c>
    </row>
    <row r="35" spans="1:16" ht="19.5" customHeight="1">
      <c r="A35" s="45"/>
      <c r="B35" s="47" t="s">
        <v>20</v>
      </c>
      <c r="C35" s="54" t="s">
        <v>16</v>
      </c>
      <c r="D35" s="284"/>
      <c r="E35" s="284"/>
      <c r="F35" s="285"/>
      <c r="G35" s="284"/>
      <c r="H35" s="286"/>
      <c r="I35" s="285"/>
      <c r="J35" s="285"/>
      <c r="K35" s="284"/>
      <c r="L35" s="284"/>
      <c r="M35" s="285"/>
      <c r="N35" s="285"/>
      <c r="O35" s="284"/>
      <c r="P35" s="8"/>
    </row>
    <row r="36" spans="1:16" ht="19.5" customHeight="1">
      <c r="A36" s="45" t="s">
        <v>23</v>
      </c>
      <c r="B36" s="48" t="s">
        <v>111</v>
      </c>
      <c r="C36" s="48" t="s">
        <v>18</v>
      </c>
      <c r="D36" s="288"/>
      <c r="E36" s="288"/>
      <c r="F36" s="289"/>
      <c r="G36" s="288"/>
      <c r="H36" s="290"/>
      <c r="I36" s="289"/>
      <c r="J36" s="289"/>
      <c r="K36" s="288"/>
      <c r="L36" s="288"/>
      <c r="M36" s="289"/>
      <c r="N36" s="289"/>
      <c r="O36" s="288"/>
      <c r="P36" s="9"/>
    </row>
    <row r="37" spans="1:16" ht="19.5" customHeight="1">
      <c r="A37" s="50"/>
      <c r="B37" s="380" t="s">
        <v>107</v>
      </c>
      <c r="C37" s="140" t="s">
        <v>16</v>
      </c>
      <c r="D37" s="184">
        <f aca="true" t="shared" si="11" ref="D37:K37">+D31+D33+D35</f>
        <v>217.17350000000002</v>
      </c>
      <c r="E37" s="26">
        <f t="shared" si="11"/>
        <v>15.319099999999999</v>
      </c>
      <c r="F37" s="26">
        <f t="shared" si="11"/>
        <v>12.0092</v>
      </c>
      <c r="G37" s="26">
        <f t="shared" si="11"/>
        <v>23.6805</v>
      </c>
      <c r="H37" s="26">
        <f t="shared" si="11"/>
        <v>11.093900000000001</v>
      </c>
      <c r="I37" s="28">
        <f t="shared" si="11"/>
        <v>165.8253</v>
      </c>
      <c r="J37" s="28">
        <f t="shared" si="11"/>
        <v>49.032</v>
      </c>
      <c r="K37" s="26">
        <f t="shared" si="11"/>
        <v>0</v>
      </c>
      <c r="L37" s="28">
        <f aca="true" t="shared" si="12" ref="L37:O38">+L31+L33+L35</f>
        <v>0.1314</v>
      </c>
      <c r="M37" s="28">
        <f>+M31+M33+M35</f>
        <v>0.8348</v>
      </c>
      <c r="N37" s="28">
        <f t="shared" si="12"/>
        <v>4.481999999999999</v>
      </c>
      <c r="O37" s="28">
        <f t="shared" si="12"/>
        <v>10.9302</v>
      </c>
      <c r="P37" s="8">
        <f>SUM(D37:O37)</f>
        <v>510.51189999999997</v>
      </c>
    </row>
    <row r="38" spans="1:16" ht="19.5" customHeight="1">
      <c r="A38" s="49"/>
      <c r="B38" s="381"/>
      <c r="C38" s="48" t="s">
        <v>18</v>
      </c>
      <c r="D38" s="25">
        <f aca="true" t="shared" si="13" ref="D38:K38">+D32+D34+D36</f>
        <v>39023.187000000005</v>
      </c>
      <c r="E38" s="25">
        <f t="shared" si="13"/>
        <v>4087.332</v>
      </c>
      <c r="F38" s="25">
        <f t="shared" si="13"/>
        <v>2304.854</v>
      </c>
      <c r="G38" s="25">
        <f t="shared" si="13"/>
        <v>3303.681</v>
      </c>
      <c r="H38" s="25">
        <f t="shared" si="13"/>
        <v>1151.81</v>
      </c>
      <c r="I38" s="86">
        <f t="shared" si="13"/>
        <v>3618.025</v>
      </c>
      <c r="J38" s="86">
        <f t="shared" si="13"/>
        <v>487.956</v>
      </c>
      <c r="K38" s="25">
        <f t="shared" si="13"/>
        <v>2.03</v>
      </c>
      <c r="L38" s="86">
        <f t="shared" si="12"/>
        <v>51.3</v>
      </c>
      <c r="M38" s="86">
        <f>+M32+M34+M36</f>
        <v>449.016</v>
      </c>
      <c r="N38" s="86">
        <f t="shared" si="12"/>
        <v>2093.016</v>
      </c>
      <c r="O38" s="86">
        <f t="shared" si="12"/>
        <v>6499.291</v>
      </c>
      <c r="P38" s="9">
        <f>SUM(D38:O38)</f>
        <v>63071.49800000001</v>
      </c>
    </row>
    <row r="39" spans="1:16" ht="19.5" customHeight="1">
      <c r="A39" s="376" t="s">
        <v>41</v>
      </c>
      <c r="B39" s="377"/>
      <c r="C39" s="54" t="s">
        <v>16</v>
      </c>
      <c r="D39" s="284">
        <v>1.368</v>
      </c>
      <c r="E39" s="284">
        <v>4.175</v>
      </c>
      <c r="F39" s="285"/>
      <c r="G39" s="284"/>
      <c r="H39" s="286"/>
      <c r="I39" s="285">
        <v>0.0207</v>
      </c>
      <c r="J39" s="285">
        <v>0.4653</v>
      </c>
      <c r="K39" s="284">
        <v>0.6147</v>
      </c>
      <c r="L39" s="284">
        <v>0.4821</v>
      </c>
      <c r="M39" s="285">
        <v>0.344</v>
      </c>
      <c r="N39" s="285">
        <v>0.4727</v>
      </c>
      <c r="O39" s="284">
        <v>0.0318</v>
      </c>
      <c r="P39" s="8">
        <f t="shared" si="4"/>
        <v>7.9742999999999995</v>
      </c>
    </row>
    <row r="40" spans="1:16" ht="19.5" customHeight="1">
      <c r="A40" s="378"/>
      <c r="B40" s="379"/>
      <c r="C40" s="48" t="s">
        <v>18</v>
      </c>
      <c r="D40" s="288">
        <v>209.605</v>
      </c>
      <c r="E40" s="288">
        <v>618.679</v>
      </c>
      <c r="F40" s="289"/>
      <c r="G40" s="288"/>
      <c r="H40" s="290"/>
      <c r="I40" s="289">
        <v>16.15</v>
      </c>
      <c r="J40" s="289">
        <v>300.385</v>
      </c>
      <c r="K40" s="288">
        <v>356.962</v>
      </c>
      <c r="L40" s="288">
        <v>194.725</v>
      </c>
      <c r="M40" s="289">
        <v>100.545</v>
      </c>
      <c r="N40" s="289">
        <v>46.034</v>
      </c>
      <c r="O40" s="288">
        <v>14.402</v>
      </c>
      <c r="P40" s="9">
        <f t="shared" si="4"/>
        <v>1857.487</v>
      </c>
    </row>
    <row r="41" spans="1:16" ht="19.5" customHeight="1">
      <c r="A41" s="376" t="s">
        <v>42</v>
      </c>
      <c r="B41" s="377"/>
      <c r="C41" s="54" t="s">
        <v>16</v>
      </c>
      <c r="D41" s="284">
        <v>0.2336</v>
      </c>
      <c r="E41" s="284">
        <v>0</v>
      </c>
      <c r="F41" s="285">
        <v>0.3802</v>
      </c>
      <c r="G41" s="284">
        <v>0.0113</v>
      </c>
      <c r="H41" s="286">
        <v>0.5181</v>
      </c>
      <c r="I41" s="285">
        <v>57.8303</v>
      </c>
      <c r="J41" s="285">
        <v>35.9401</v>
      </c>
      <c r="K41" s="284">
        <v>95.0848</v>
      </c>
      <c r="L41" s="284">
        <v>45.0072</v>
      </c>
      <c r="M41" s="285">
        <v>459.7368</v>
      </c>
      <c r="N41" s="285">
        <v>87.7216</v>
      </c>
      <c r="O41" s="284">
        <v>0.1083</v>
      </c>
      <c r="P41" s="8">
        <f t="shared" si="4"/>
        <v>782.5723</v>
      </c>
    </row>
    <row r="42" spans="1:16" ht="19.5" customHeight="1">
      <c r="A42" s="378"/>
      <c r="B42" s="379"/>
      <c r="C42" s="48" t="s">
        <v>18</v>
      </c>
      <c r="D42" s="288">
        <v>89.551</v>
      </c>
      <c r="E42" s="288">
        <v>6.3</v>
      </c>
      <c r="F42" s="289">
        <v>72.552</v>
      </c>
      <c r="G42" s="288">
        <v>4.177</v>
      </c>
      <c r="H42" s="290">
        <v>148.997</v>
      </c>
      <c r="I42" s="289">
        <v>10631.137</v>
      </c>
      <c r="J42" s="289">
        <v>7086.906</v>
      </c>
      <c r="K42" s="288">
        <v>27763.202</v>
      </c>
      <c r="L42" s="288">
        <v>4307.764</v>
      </c>
      <c r="M42" s="289">
        <v>61963.131</v>
      </c>
      <c r="N42" s="289">
        <v>15278.146</v>
      </c>
      <c r="O42" s="288">
        <v>83.736</v>
      </c>
      <c r="P42" s="9">
        <f t="shared" si="4"/>
        <v>127435.59900000002</v>
      </c>
    </row>
    <row r="43" spans="1:16" ht="19.5" customHeight="1">
      <c r="A43" s="376" t="s">
        <v>43</v>
      </c>
      <c r="B43" s="377"/>
      <c r="C43" s="54" t="s">
        <v>16</v>
      </c>
      <c r="D43" s="284"/>
      <c r="E43" s="284"/>
      <c r="F43" s="285"/>
      <c r="G43" s="284"/>
      <c r="H43" s="286"/>
      <c r="I43" s="285"/>
      <c r="J43" s="285"/>
      <c r="K43" s="284"/>
      <c r="L43" s="284"/>
      <c r="M43" s="285"/>
      <c r="N43" s="285"/>
      <c r="O43" s="284"/>
      <c r="P43" s="8"/>
    </row>
    <row r="44" spans="1:16" ht="19.5" customHeight="1">
      <c r="A44" s="378"/>
      <c r="B44" s="379"/>
      <c r="C44" s="48" t="s">
        <v>18</v>
      </c>
      <c r="D44" s="288"/>
      <c r="E44" s="288"/>
      <c r="F44" s="289"/>
      <c r="G44" s="288"/>
      <c r="H44" s="290"/>
      <c r="I44" s="289"/>
      <c r="J44" s="289"/>
      <c r="K44" s="288"/>
      <c r="L44" s="288"/>
      <c r="M44" s="289"/>
      <c r="N44" s="289"/>
      <c r="O44" s="288"/>
      <c r="P44" s="9"/>
    </row>
    <row r="45" spans="1:16" ht="19.5" customHeight="1">
      <c r="A45" s="376" t="s">
        <v>44</v>
      </c>
      <c r="B45" s="377"/>
      <c r="C45" s="54" t="s">
        <v>16</v>
      </c>
      <c r="D45" s="284">
        <v>0</v>
      </c>
      <c r="E45" s="284">
        <v>0.0147</v>
      </c>
      <c r="F45" s="285">
        <v>0.0285</v>
      </c>
      <c r="G45" s="284">
        <v>0.0151</v>
      </c>
      <c r="H45" s="286">
        <v>0.0106</v>
      </c>
      <c r="I45" s="285">
        <v>0.0011</v>
      </c>
      <c r="J45" s="285">
        <v>0</v>
      </c>
      <c r="K45" s="284"/>
      <c r="L45" s="284"/>
      <c r="M45" s="285">
        <v>0.0042</v>
      </c>
      <c r="N45" s="285">
        <v>0.001</v>
      </c>
      <c r="O45" s="284"/>
      <c r="P45" s="8">
        <f t="shared" si="4"/>
        <v>0.0752</v>
      </c>
    </row>
    <row r="46" spans="1:16" ht="19.5" customHeight="1">
      <c r="A46" s="378"/>
      <c r="B46" s="379"/>
      <c r="C46" s="48" t="s">
        <v>18</v>
      </c>
      <c r="D46" s="288">
        <v>0.494</v>
      </c>
      <c r="E46" s="288">
        <v>19.751</v>
      </c>
      <c r="F46" s="289">
        <v>28.704</v>
      </c>
      <c r="G46" s="288">
        <v>47.302</v>
      </c>
      <c r="H46" s="290">
        <v>14.343</v>
      </c>
      <c r="I46" s="289">
        <v>0.689</v>
      </c>
      <c r="J46" s="289">
        <v>4.536</v>
      </c>
      <c r="K46" s="288"/>
      <c r="L46" s="288"/>
      <c r="M46" s="289">
        <v>5.398</v>
      </c>
      <c r="N46" s="289">
        <v>0.599</v>
      </c>
      <c r="O46" s="288"/>
      <c r="P46" s="9">
        <f t="shared" si="4"/>
        <v>121.816</v>
      </c>
    </row>
    <row r="47" spans="1:16" ht="19.5" customHeight="1">
      <c r="A47" s="376" t="s">
        <v>45</v>
      </c>
      <c r="B47" s="377"/>
      <c r="C47" s="54" t="s">
        <v>16</v>
      </c>
      <c r="D47" s="284">
        <v>0.012</v>
      </c>
      <c r="E47" s="284">
        <v>0.094</v>
      </c>
      <c r="F47" s="285">
        <v>0.04</v>
      </c>
      <c r="G47" s="284">
        <v>0</v>
      </c>
      <c r="H47" s="286">
        <v>0.1131</v>
      </c>
      <c r="I47" s="285">
        <v>0.0381</v>
      </c>
      <c r="J47" s="285"/>
      <c r="K47" s="284">
        <v>0</v>
      </c>
      <c r="L47" s="284">
        <v>0</v>
      </c>
      <c r="M47" s="285">
        <v>0.006</v>
      </c>
      <c r="N47" s="285"/>
      <c r="O47" s="284">
        <v>0</v>
      </c>
      <c r="P47" s="8">
        <f t="shared" si="4"/>
        <v>0.3032</v>
      </c>
    </row>
    <row r="48" spans="1:16" ht="19.5" customHeight="1">
      <c r="A48" s="378"/>
      <c r="B48" s="379"/>
      <c r="C48" s="48" t="s">
        <v>18</v>
      </c>
      <c r="D48" s="288">
        <v>7.823</v>
      </c>
      <c r="E48" s="288">
        <v>13.99</v>
      </c>
      <c r="F48" s="289">
        <v>4.2</v>
      </c>
      <c r="G48" s="288">
        <v>2.064</v>
      </c>
      <c r="H48" s="290">
        <v>184.334</v>
      </c>
      <c r="I48" s="289">
        <v>38.474</v>
      </c>
      <c r="J48" s="289"/>
      <c r="K48" s="288">
        <v>6.48</v>
      </c>
      <c r="L48" s="288">
        <v>1.08</v>
      </c>
      <c r="M48" s="289">
        <v>3.24</v>
      </c>
      <c r="N48" s="289"/>
      <c r="O48" s="288">
        <v>0.972</v>
      </c>
      <c r="P48" s="9">
        <f t="shared" si="4"/>
        <v>262.657</v>
      </c>
    </row>
    <row r="49" spans="1:16" ht="19.5" customHeight="1">
      <c r="A49" s="376" t="s">
        <v>46</v>
      </c>
      <c r="B49" s="377"/>
      <c r="C49" s="54" t="s">
        <v>16</v>
      </c>
      <c r="D49" s="284">
        <v>1802.223</v>
      </c>
      <c r="E49" s="284">
        <v>878.169</v>
      </c>
      <c r="F49" s="285">
        <v>0</v>
      </c>
      <c r="G49" s="284">
        <v>0</v>
      </c>
      <c r="H49" s="286">
        <v>278.431</v>
      </c>
      <c r="I49" s="285">
        <v>149.4568</v>
      </c>
      <c r="J49" s="285">
        <v>948.5075</v>
      </c>
      <c r="K49" s="284">
        <v>89.858</v>
      </c>
      <c r="L49" s="284">
        <v>113.5376</v>
      </c>
      <c r="M49" s="285">
        <v>555.4854</v>
      </c>
      <c r="N49" s="285">
        <v>1002.7623</v>
      </c>
      <c r="O49" s="284">
        <v>727.0171</v>
      </c>
      <c r="P49" s="8">
        <f t="shared" si="4"/>
        <v>6545.4477</v>
      </c>
    </row>
    <row r="50" spans="1:16" ht="19.5" customHeight="1">
      <c r="A50" s="378"/>
      <c r="B50" s="379"/>
      <c r="C50" s="48" t="s">
        <v>18</v>
      </c>
      <c r="D50" s="288">
        <v>215036.34</v>
      </c>
      <c r="E50" s="288">
        <v>79261.804</v>
      </c>
      <c r="F50" s="289">
        <v>1.208</v>
      </c>
      <c r="G50" s="288">
        <v>2.981</v>
      </c>
      <c r="H50" s="290">
        <v>23776.578</v>
      </c>
      <c r="I50" s="289">
        <v>11537.388</v>
      </c>
      <c r="J50" s="289">
        <v>56455.439</v>
      </c>
      <c r="K50" s="288">
        <v>8910.426</v>
      </c>
      <c r="L50" s="288">
        <v>11233.096</v>
      </c>
      <c r="M50" s="289">
        <v>43027.357</v>
      </c>
      <c r="N50" s="289">
        <v>104642.125</v>
      </c>
      <c r="O50" s="288">
        <v>100257.668</v>
      </c>
      <c r="P50" s="9">
        <f t="shared" si="4"/>
        <v>654142.4099999999</v>
      </c>
    </row>
    <row r="51" spans="1:16" ht="19.5" customHeight="1">
      <c r="A51" s="376" t="s">
        <v>47</v>
      </c>
      <c r="B51" s="377"/>
      <c r="C51" s="54" t="s">
        <v>16</v>
      </c>
      <c r="D51" s="284"/>
      <c r="E51" s="284">
        <v>0.008</v>
      </c>
      <c r="F51" s="285"/>
      <c r="G51" s="284"/>
      <c r="H51" s="286">
        <v>0</v>
      </c>
      <c r="I51" s="285">
        <v>0.01</v>
      </c>
      <c r="J51" s="285"/>
      <c r="K51" s="284">
        <v>24.126</v>
      </c>
      <c r="L51" s="284">
        <v>4468.0239</v>
      </c>
      <c r="M51" s="285">
        <v>10179.3771</v>
      </c>
      <c r="N51" s="285">
        <v>10697.3489</v>
      </c>
      <c r="O51" s="284">
        <v>1851.948</v>
      </c>
      <c r="P51" s="8">
        <f t="shared" si="4"/>
        <v>27220.841900000003</v>
      </c>
    </row>
    <row r="52" spans="1:16" ht="19.5" customHeight="1">
      <c r="A52" s="378"/>
      <c r="B52" s="379"/>
      <c r="C52" s="48" t="s">
        <v>18</v>
      </c>
      <c r="D52" s="288"/>
      <c r="E52" s="288">
        <v>2.94</v>
      </c>
      <c r="F52" s="289"/>
      <c r="G52" s="288"/>
      <c r="H52" s="290">
        <v>3.974</v>
      </c>
      <c r="I52" s="289">
        <v>4.497</v>
      </c>
      <c r="J52" s="289"/>
      <c r="K52" s="288">
        <v>24102.36</v>
      </c>
      <c r="L52" s="288">
        <v>747798.537</v>
      </c>
      <c r="M52" s="289">
        <v>1050184.023</v>
      </c>
      <c r="N52" s="289">
        <v>684163.158</v>
      </c>
      <c r="O52" s="288">
        <v>153416.271</v>
      </c>
      <c r="P52" s="9">
        <f t="shared" si="4"/>
        <v>2659675.7600000002</v>
      </c>
    </row>
    <row r="53" spans="1:16" ht="19.5" customHeight="1">
      <c r="A53" s="376" t="s">
        <v>48</v>
      </c>
      <c r="B53" s="377"/>
      <c r="C53" s="54" t="s">
        <v>16</v>
      </c>
      <c r="D53" s="284">
        <v>3.4988</v>
      </c>
      <c r="E53" s="284">
        <v>0.0141</v>
      </c>
      <c r="F53" s="285">
        <v>3.2275</v>
      </c>
      <c r="G53" s="284">
        <v>4.4551</v>
      </c>
      <c r="H53" s="286">
        <v>7.2961</v>
      </c>
      <c r="I53" s="285">
        <v>3.1645</v>
      </c>
      <c r="J53" s="285">
        <v>1.5408</v>
      </c>
      <c r="K53" s="284">
        <v>0.6531</v>
      </c>
      <c r="L53" s="284">
        <v>35.8076</v>
      </c>
      <c r="M53" s="285">
        <v>420.2317</v>
      </c>
      <c r="N53" s="285">
        <v>581.545</v>
      </c>
      <c r="O53" s="284">
        <v>154.1274</v>
      </c>
      <c r="P53" s="8">
        <f t="shared" si="4"/>
        <v>1215.5617</v>
      </c>
    </row>
    <row r="54" spans="1:16" ht="19.5" customHeight="1">
      <c r="A54" s="378"/>
      <c r="B54" s="379"/>
      <c r="C54" s="48" t="s">
        <v>18</v>
      </c>
      <c r="D54" s="288">
        <v>997.848</v>
      </c>
      <c r="E54" s="288">
        <v>76.282</v>
      </c>
      <c r="F54" s="289">
        <v>2399.928</v>
      </c>
      <c r="G54" s="288">
        <v>4098.26</v>
      </c>
      <c r="H54" s="290">
        <v>7667.766</v>
      </c>
      <c r="I54" s="289">
        <v>3249.604</v>
      </c>
      <c r="J54" s="289">
        <v>1875.86</v>
      </c>
      <c r="K54" s="288">
        <v>683.805</v>
      </c>
      <c r="L54" s="288">
        <v>13223.104</v>
      </c>
      <c r="M54" s="289">
        <v>177943.605</v>
      </c>
      <c r="N54" s="289">
        <v>255029.716</v>
      </c>
      <c r="O54" s="288">
        <v>60663.084</v>
      </c>
      <c r="P54" s="9">
        <f t="shared" si="4"/>
        <v>527908.862</v>
      </c>
    </row>
    <row r="55" spans="1:16" ht="19.5" customHeight="1">
      <c r="A55" s="44" t="s">
        <v>0</v>
      </c>
      <c r="B55" s="382" t="s">
        <v>112</v>
      </c>
      <c r="C55" s="54" t="s">
        <v>16</v>
      </c>
      <c r="D55" s="284">
        <v>0.0013</v>
      </c>
      <c r="E55" s="284">
        <v>0.0021</v>
      </c>
      <c r="F55" s="285"/>
      <c r="G55" s="284"/>
      <c r="H55" s="286">
        <v>0.1004</v>
      </c>
      <c r="I55" s="285">
        <v>0.3501</v>
      </c>
      <c r="J55" s="285">
        <v>0.186</v>
      </c>
      <c r="K55" s="284">
        <v>0.0036</v>
      </c>
      <c r="L55" s="284">
        <v>0.0093</v>
      </c>
      <c r="M55" s="285">
        <v>0.013</v>
      </c>
      <c r="N55" s="285">
        <v>0.0177</v>
      </c>
      <c r="O55" s="284">
        <v>0.0116</v>
      </c>
      <c r="P55" s="8">
        <f t="shared" si="4"/>
        <v>0.6951</v>
      </c>
    </row>
    <row r="56" spans="1:16" ht="19.5" customHeight="1">
      <c r="A56" s="45" t="s">
        <v>38</v>
      </c>
      <c r="B56" s="383"/>
      <c r="C56" s="48" t="s">
        <v>18</v>
      </c>
      <c r="D56" s="288">
        <v>2.389</v>
      </c>
      <c r="E56" s="288">
        <v>2.054</v>
      </c>
      <c r="F56" s="289"/>
      <c r="G56" s="288"/>
      <c r="H56" s="290">
        <v>184.538</v>
      </c>
      <c r="I56" s="289">
        <v>413.328</v>
      </c>
      <c r="J56" s="289">
        <v>335.691</v>
      </c>
      <c r="K56" s="288">
        <v>29.254</v>
      </c>
      <c r="L56" s="288">
        <v>22.444</v>
      </c>
      <c r="M56" s="289">
        <v>47.364</v>
      </c>
      <c r="N56" s="289">
        <v>45.837</v>
      </c>
      <c r="O56" s="288">
        <v>10.293</v>
      </c>
      <c r="P56" s="9">
        <f t="shared" si="4"/>
        <v>1093.1919999999998</v>
      </c>
    </row>
    <row r="57" spans="1:16" ht="19.5" customHeight="1">
      <c r="A57" s="45" t="s">
        <v>17</v>
      </c>
      <c r="B57" s="47" t="s">
        <v>20</v>
      </c>
      <c r="C57" s="54" t="s">
        <v>16</v>
      </c>
      <c r="D57" s="284">
        <v>0.4247</v>
      </c>
      <c r="E57" s="284">
        <v>0.0013</v>
      </c>
      <c r="F57" s="285"/>
      <c r="G57" s="284"/>
      <c r="H57" s="286"/>
      <c r="I57" s="285">
        <v>0.1492</v>
      </c>
      <c r="J57" s="285">
        <v>0.3019</v>
      </c>
      <c r="K57" s="284">
        <v>0.2646</v>
      </c>
      <c r="L57" s="284">
        <v>0.0365</v>
      </c>
      <c r="M57" s="285">
        <v>0.1848</v>
      </c>
      <c r="N57" s="285">
        <v>0.0868</v>
      </c>
      <c r="O57" s="284">
        <v>0.0973</v>
      </c>
      <c r="P57" s="8">
        <f t="shared" si="4"/>
        <v>1.5471</v>
      </c>
    </row>
    <row r="58" spans="1:16" ht="19.5" customHeight="1">
      <c r="A58" s="45" t="s">
        <v>23</v>
      </c>
      <c r="B58" s="48" t="s">
        <v>113</v>
      </c>
      <c r="C58" s="48" t="s">
        <v>18</v>
      </c>
      <c r="D58" s="288">
        <v>135.139</v>
      </c>
      <c r="E58" s="288">
        <v>0.474</v>
      </c>
      <c r="F58" s="289"/>
      <c r="G58" s="288"/>
      <c r="H58" s="290"/>
      <c r="I58" s="289">
        <v>126.688</v>
      </c>
      <c r="J58" s="289">
        <v>193.464</v>
      </c>
      <c r="K58" s="288">
        <v>228.78</v>
      </c>
      <c r="L58" s="288">
        <v>38.849</v>
      </c>
      <c r="M58" s="289">
        <v>65.609</v>
      </c>
      <c r="N58" s="289">
        <v>79.856</v>
      </c>
      <c r="O58" s="288">
        <v>68.015</v>
      </c>
      <c r="P58" s="9">
        <f t="shared" si="4"/>
        <v>936.874</v>
      </c>
    </row>
    <row r="59" spans="1:16" ht="19.5" customHeight="1">
      <c r="A59" s="50"/>
      <c r="B59" s="380" t="s">
        <v>107</v>
      </c>
      <c r="C59" s="140" t="s">
        <v>16</v>
      </c>
      <c r="D59" s="184">
        <f aca="true" t="shared" si="14" ref="D59:K59">+D55+D57</f>
        <v>0.42600000000000005</v>
      </c>
      <c r="E59" s="26">
        <f t="shared" si="14"/>
        <v>0.0034</v>
      </c>
      <c r="F59" s="26"/>
      <c r="G59" s="26"/>
      <c r="H59" s="26">
        <f t="shared" si="14"/>
        <v>0.1004</v>
      </c>
      <c r="I59" s="28">
        <f t="shared" si="14"/>
        <v>0.4993</v>
      </c>
      <c r="J59" s="28">
        <f t="shared" si="14"/>
        <v>0.4879</v>
      </c>
      <c r="K59" s="26">
        <f t="shared" si="14"/>
        <v>0.2682</v>
      </c>
      <c r="L59" s="28">
        <f aca="true" t="shared" si="15" ref="L59:O60">+L55+L57</f>
        <v>0.045799999999999993</v>
      </c>
      <c r="M59" s="28">
        <f t="shared" si="15"/>
        <v>0.1978</v>
      </c>
      <c r="N59" s="28">
        <f t="shared" si="15"/>
        <v>0.10450000000000001</v>
      </c>
      <c r="O59" s="28">
        <f t="shared" si="15"/>
        <v>0.1089</v>
      </c>
      <c r="P59" s="8">
        <f>SUM(D59:O59)</f>
        <v>2.2422000000000004</v>
      </c>
    </row>
    <row r="60" spans="1:16" ht="19.5" customHeight="1">
      <c r="A60" s="49"/>
      <c r="B60" s="381"/>
      <c r="C60" s="48" t="s">
        <v>18</v>
      </c>
      <c r="D60" s="25">
        <f aca="true" t="shared" si="16" ref="D60:K60">+D56+D58</f>
        <v>137.52800000000002</v>
      </c>
      <c r="E60" s="25">
        <f t="shared" si="16"/>
        <v>2.5279999999999996</v>
      </c>
      <c r="F60" s="25"/>
      <c r="G60" s="25"/>
      <c r="H60" s="25">
        <f t="shared" si="16"/>
        <v>184.538</v>
      </c>
      <c r="I60" s="86">
        <f t="shared" si="16"/>
        <v>540.016</v>
      </c>
      <c r="J60" s="86">
        <f t="shared" si="16"/>
        <v>529.155</v>
      </c>
      <c r="K60" s="25">
        <f t="shared" si="16"/>
        <v>258.034</v>
      </c>
      <c r="L60" s="86">
        <f t="shared" si="15"/>
        <v>61.29299999999999</v>
      </c>
      <c r="M60" s="86">
        <f t="shared" si="15"/>
        <v>112.97299999999998</v>
      </c>
      <c r="N60" s="86">
        <f t="shared" si="15"/>
        <v>125.693</v>
      </c>
      <c r="O60" s="86">
        <f t="shared" si="15"/>
        <v>78.30799999999999</v>
      </c>
      <c r="P60" s="9">
        <f>SUM(D60:O60)</f>
        <v>2030.0659999999998</v>
      </c>
    </row>
    <row r="61" spans="1:16" ht="19.5" customHeight="1">
      <c r="A61" s="44" t="s">
        <v>0</v>
      </c>
      <c r="B61" s="382" t="s">
        <v>115</v>
      </c>
      <c r="C61" s="54" t="s">
        <v>16</v>
      </c>
      <c r="D61" s="284">
        <v>11.4253</v>
      </c>
      <c r="E61" s="284">
        <v>0.264</v>
      </c>
      <c r="F61" s="285">
        <v>0.2087</v>
      </c>
      <c r="G61" s="284">
        <v>0.129</v>
      </c>
      <c r="H61" s="286">
        <v>0.0115</v>
      </c>
      <c r="I61" s="285"/>
      <c r="J61" s="285"/>
      <c r="K61" s="284"/>
      <c r="L61" s="284">
        <v>0.7065</v>
      </c>
      <c r="M61" s="285">
        <v>0.3688</v>
      </c>
      <c r="N61" s="285">
        <v>0.102</v>
      </c>
      <c r="O61" s="284">
        <v>0.1455</v>
      </c>
      <c r="P61" s="8">
        <f t="shared" si="4"/>
        <v>13.3613</v>
      </c>
    </row>
    <row r="62" spans="1:16" ht="19.5" customHeight="1">
      <c r="A62" s="45" t="s">
        <v>49</v>
      </c>
      <c r="B62" s="383"/>
      <c r="C62" s="48" t="s">
        <v>18</v>
      </c>
      <c r="D62" s="288">
        <v>817.241</v>
      </c>
      <c r="E62" s="288">
        <v>17.449</v>
      </c>
      <c r="F62" s="289">
        <v>15.906</v>
      </c>
      <c r="G62" s="288">
        <v>7.298</v>
      </c>
      <c r="H62" s="290">
        <v>0.684</v>
      </c>
      <c r="I62" s="289"/>
      <c r="J62" s="289"/>
      <c r="K62" s="288"/>
      <c r="L62" s="288">
        <v>15.048</v>
      </c>
      <c r="M62" s="289">
        <v>9.413</v>
      </c>
      <c r="N62" s="289">
        <v>1.783</v>
      </c>
      <c r="O62" s="288">
        <v>7.65</v>
      </c>
      <c r="P62" s="9">
        <f t="shared" si="4"/>
        <v>892.4719999999999</v>
      </c>
    </row>
    <row r="63" spans="1:16" ht="19.5" customHeight="1">
      <c r="A63" s="45" t="s">
        <v>0</v>
      </c>
      <c r="B63" s="47" t="s">
        <v>50</v>
      </c>
      <c r="C63" s="54" t="s">
        <v>16</v>
      </c>
      <c r="D63" s="284">
        <v>384.01</v>
      </c>
      <c r="E63" s="284">
        <v>429.5654</v>
      </c>
      <c r="F63" s="285">
        <v>509.4316</v>
      </c>
      <c r="G63" s="284">
        <v>172.027</v>
      </c>
      <c r="H63" s="286">
        <v>239.893</v>
      </c>
      <c r="I63" s="285">
        <v>559.886</v>
      </c>
      <c r="J63" s="285">
        <v>460.713</v>
      </c>
      <c r="K63" s="284">
        <v>458.348</v>
      </c>
      <c r="L63" s="284">
        <v>1128.439</v>
      </c>
      <c r="M63" s="285">
        <v>697.94</v>
      </c>
      <c r="N63" s="285">
        <v>241.402</v>
      </c>
      <c r="O63" s="284">
        <v>268.42</v>
      </c>
      <c r="P63" s="8">
        <f aca="true" t="shared" si="17" ref="P63:P68">SUM(D63:O63)</f>
        <v>5550.075000000001</v>
      </c>
    </row>
    <row r="64" spans="1:16" ht="19.5" customHeight="1">
      <c r="A64" s="45" t="s">
        <v>51</v>
      </c>
      <c r="B64" s="48" t="s">
        <v>116</v>
      </c>
      <c r="C64" s="48" t="s">
        <v>18</v>
      </c>
      <c r="D64" s="288">
        <v>45765.199</v>
      </c>
      <c r="E64" s="288">
        <v>52089.909</v>
      </c>
      <c r="F64" s="289">
        <v>66023.745</v>
      </c>
      <c r="G64" s="288">
        <v>23693.099</v>
      </c>
      <c r="H64" s="290">
        <v>34580.757</v>
      </c>
      <c r="I64" s="289">
        <v>76600.748</v>
      </c>
      <c r="J64" s="289">
        <v>65416.568</v>
      </c>
      <c r="K64" s="288">
        <v>73174.011</v>
      </c>
      <c r="L64" s="288">
        <v>133640.378</v>
      </c>
      <c r="M64" s="289">
        <v>63295.142</v>
      </c>
      <c r="N64" s="289">
        <v>25333.339</v>
      </c>
      <c r="O64" s="288">
        <v>34169.622</v>
      </c>
      <c r="P64" s="9">
        <f t="shared" si="17"/>
        <v>693782.517</v>
      </c>
    </row>
    <row r="65" spans="1:16" ht="19.5" customHeight="1">
      <c r="A65" s="45" t="s">
        <v>0</v>
      </c>
      <c r="B65" s="382" t="s">
        <v>53</v>
      </c>
      <c r="C65" s="54" t="s">
        <v>16</v>
      </c>
      <c r="D65" s="284">
        <v>134.578</v>
      </c>
      <c r="E65" s="284">
        <v>238.851</v>
      </c>
      <c r="F65" s="285">
        <v>295.068</v>
      </c>
      <c r="G65" s="284">
        <v>459.068</v>
      </c>
      <c r="H65" s="286">
        <v>445.97</v>
      </c>
      <c r="I65" s="285">
        <v>577.47</v>
      </c>
      <c r="J65" s="285">
        <v>219.774</v>
      </c>
      <c r="K65" s="284">
        <v>211.682</v>
      </c>
      <c r="L65" s="284">
        <v>69.521</v>
      </c>
      <c r="M65" s="285">
        <v>275.369</v>
      </c>
      <c r="N65" s="285">
        <v>270.906</v>
      </c>
      <c r="O65" s="284">
        <v>265.405</v>
      </c>
      <c r="P65" s="8">
        <f t="shared" si="17"/>
        <v>3463.6620000000003</v>
      </c>
    </row>
    <row r="66" spans="1:16" ht="19.5" customHeight="1">
      <c r="A66" s="45" t="s">
        <v>23</v>
      </c>
      <c r="B66" s="383"/>
      <c r="C66" s="48" t="s">
        <v>18</v>
      </c>
      <c r="D66" s="288">
        <v>21664.606</v>
      </c>
      <c r="E66" s="288">
        <v>33736.04</v>
      </c>
      <c r="F66" s="289">
        <v>38929.088</v>
      </c>
      <c r="G66" s="288">
        <v>55429.988</v>
      </c>
      <c r="H66" s="290">
        <v>49955.325</v>
      </c>
      <c r="I66" s="289">
        <v>63275.903</v>
      </c>
      <c r="J66" s="289">
        <v>30281.883</v>
      </c>
      <c r="K66" s="288">
        <v>26597.567</v>
      </c>
      <c r="L66" s="288">
        <v>20005.635</v>
      </c>
      <c r="M66" s="289">
        <v>30583.425</v>
      </c>
      <c r="N66" s="289">
        <v>25110.305</v>
      </c>
      <c r="O66" s="288">
        <v>30500.474</v>
      </c>
      <c r="P66" s="9">
        <f t="shared" si="17"/>
        <v>426070.23899999994</v>
      </c>
    </row>
    <row r="67" spans="1:16" ht="19.5" customHeight="1">
      <c r="A67" s="50"/>
      <c r="B67" s="47" t="s">
        <v>20</v>
      </c>
      <c r="C67" s="54" t="s">
        <v>16</v>
      </c>
      <c r="D67" s="284">
        <v>74.0296</v>
      </c>
      <c r="E67" s="284">
        <v>53.1037</v>
      </c>
      <c r="F67" s="285">
        <v>59.8571</v>
      </c>
      <c r="G67" s="284">
        <v>32.9749</v>
      </c>
      <c r="H67" s="286">
        <v>47.5037</v>
      </c>
      <c r="I67" s="285">
        <v>82.344</v>
      </c>
      <c r="J67" s="285">
        <v>114.712</v>
      </c>
      <c r="K67" s="284">
        <v>71.5323</v>
      </c>
      <c r="L67" s="284">
        <v>68.9673</v>
      </c>
      <c r="M67" s="285">
        <v>101.7143</v>
      </c>
      <c r="N67" s="285">
        <v>25.6876</v>
      </c>
      <c r="O67" s="284">
        <v>8.4428</v>
      </c>
      <c r="P67" s="8">
        <f t="shared" si="17"/>
        <v>740.8693</v>
      </c>
    </row>
    <row r="68" spans="1:16" ht="19.5" customHeight="1" thickBot="1">
      <c r="A68" s="51" t="s">
        <v>0</v>
      </c>
      <c r="B68" s="52" t="s">
        <v>116</v>
      </c>
      <c r="C68" s="52" t="s">
        <v>18</v>
      </c>
      <c r="D68" s="291">
        <v>8635.949</v>
      </c>
      <c r="E68" s="291">
        <v>5947.055</v>
      </c>
      <c r="F68" s="292">
        <v>9172.385</v>
      </c>
      <c r="G68" s="291">
        <v>6304.698</v>
      </c>
      <c r="H68" s="293">
        <v>7384.386</v>
      </c>
      <c r="I68" s="294">
        <v>11225.045</v>
      </c>
      <c r="J68" s="292">
        <v>14635.867</v>
      </c>
      <c r="K68" s="291">
        <v>11097.88</v>
      </c>
      <c r="L68" s="295">
        <v>8473.245</v>
      </c>
      <c r="M68" s="294">
        <v>12884.159</v>
      </c>
      <c r="N68" s="292">
        <v>3852.936</v>
      </c>
      <c r="O68" s="291">
        <v>3099.114</v>
      </c>
      <c r="P68" s="10">
        <f t="shared" si="17"/>
        <v>102712.719</v>
      </c>
    </row>
    <row r="69" spans="4:16" ht="19.5" customHeight="1">
      <c r="D69" s="268"/>
      <c r="E69" s="268"/>
      <c r="F69" s="274"/>
      <c r="G69" s="268"/>
      <c r="H69" s="268"/>
      <c r="I69" s="269"/>
      <c r="J69" s="269"/>
      <c r="K69" s="268"/>
      <c r="L69" s="268"/>
      <c r="M69" s="269"/>
      <c r="N69" s="269"/>
      <c r="O69" s="268"/>
      <c r="P69" s="11"/>
    </row>
    <row r="70" spans="4:16" ht="19.5" customHeight="1">
      <c r="D70" s="268"/>
      <c r="E70" s="268"/>
      <c r="F70" s="274"/>
      <c r="G70" s="268"/>
      <c r="H70" s="268"/>
      <c r="I70" s="269"/>
      <c r="J70" s="269"/>
      <c r="K70" s="268"/>
      <c r="L70" s="268"/>
      <c r="M70" s="269"/>
      <c r="N70" s="269"/>
      <c r="O70" s="268"/>
      <c r="P70" s="11"/>
    </row>
    <row r="71" spans="4:16" ht="19.5" customHeight="1">
      <c r="D71" s="268"/>
      <c r="E71" s="268"/>
      <c r="F71" s="274"/>
      <c r="G71" s="268"/>
      <c r="H71" s="268"/>
      <c r="I71" s="269"/>
      <c r="J71" s="269"/>
      <c r="K71" s="268"/>
      <c r="L71" s="268"/>
      <c r="M71" s="269"/>
      <c r="N71" s="269"/>
      <c r="O71" s="268"/>
      <c r="P71" s="11"/>
    </row>
    <row r="72" spans="4:16" ht="19.5" customHeight="1">
      <c r="D72" s="268"/>
      <c r="E72" s="268"/>
      <c r="F72" s="274"/>
      <c r="G72" s="268"/>
      <c r="H72" s="268"/>
      <c r="I72" s="269"/>
      <c r="J72" s="269"/>
      <c r="K72" s="268"/>
      <c r="L72" s="268"/>
      <c r="M72" s="269"/>
      <c r="N72" s="269"/>
      <c r="O72" s="268"/>
      <c r="P72" s="11"/>
    </row>
    <row r="73" spans="4:16" ht="19.5" customHeight="1">
      <c r="D73" s="268"/>
      <c r="E73" s="268"/>
      <c r="F73" s="274"/>
      <c r="G73" s="268"/>
      <c r="H73" s="268"/>
      <c r="I73" s="269"/>
      <c r="J73" s="269"/>
      <c r="K73" s="268"/>
      <c r="L73" s="268"/>
      <c r="M73" s="269"/>
      <c r="N73" s="269"/>
      <c r="O73" s="268"/>
      <c r="P73" s="11"/>
    </row>
    <row r="74" spans="1:16" ht="19.5" customHeight="1" thickBot="1">
      <c r="A74" s="12"/>
      <c r="B74" s="39" t="s">
        <v>81</v>
      </c>
      <c r="C74" s="12"/>
      <c r="D74" s="271"/>
      <c r="E74" s="271"/>
      <c r="F74" s="274"/>
      <c r="G74" s="271"/>
      <c r="H74" s="268"/>
      <c r="I74" s="273"/>
      <c r="J74" s="269"/>
      <c r="K74" s="271"/>
      <c r="L74" s="268"/>
      <c r="M74" s="273"/>
      <c r="N74" s="269"/>
      <c r="O74" s="271"/>
      <c r="P74" s="12"/>
    </row>
    <row r="75" spans="1:16" ht="19.5" customHeight="1">
      <c r="A75" s="49"/>
      <c r="B75" s="53"/>
      <c r="C75" s="53"/>
      <c r="D75" s="313" t="s">
        <v>2</v>
      </c>
      <c r="E75" s="313" t="s">
        <v>3</v>
      </c>
      <c r="F75" s="314" t="s">
        <v>4</v>
      </c>
      <c r="G75" s="315" t="s">
        <v>5</v>
      </c>
      <c r="H75" s="316" t="s">
        <v>6</v>
      </c>
      <c r="I75" s="317" t="s">
        <v>7</v>
      </c>
      <c r="J75" s="318" t="s">
        <v>8</v>
      </c>
      <c r="K75" s="313" t="s">
        <v>9</v>
      </c>
      <c r="L75" s="316" t="s">
        <v>10</v>
      </c>
      <c r="M75" s="317" t="s">
        <v>11</v>
      </c>
      <c r="N75" s="318" t="s">
        <v>12</v>
      </c>
      <c r="O75" s="313" t="s">
        <v>13</v>
      </c>
      <c r="P75" s="43" t="s">
        <v>14</v>
      </c>
    </row>
    <row r="76" spans="1:16" ht="19.5" customHeight="1">
      <c r="A76" s="44" t="s">
        <v>49</v>
      </c>
      <c r="B76" s="380" t="s">
        <v>114</v>
      </c>
      <c r="C76" s="140" t="s">
        <v>16</v>
      </c>
      <c r="D76" s="184">
        <f aca="true" t="shared" si="18" ref="D76:K76">+D61+D63+D65+D67</f>
        <v>604.0428999999999</v>
      </c>
      <c r="E76" s="26">
        <f t="shared" si="18"/>
        <v>721.7841</v>
      </c>
      <c r="F76" s="26">
        <f t="shared" si="18"/>
        <v>864.5654</v>
      </c>
      <c r="G76" s="26">
        <f t="shared" si="18"/>
        <v>664.1989</v>
      </c>
      <c r="H76" s="26">
        <f t="shared" si="18"/>
        <v>733.3782</v>
      </c>
      <c r="I76" s="28">
        <f t="shared" si="18"/>
        <v>1219.7</v>
      </c>
      <c r="J76" s="28">
        <f t="shared" si="18"/>
        <v>795.1990000000001</v>
      </c>
      <c r="K76" s="26">
        <f t="shared" si="18"/>
        <v>741.5622999999999</v>
      </c>
      <c r="L76" s="28">
        <f aca="true" t="shared" si="19" ref="L76:P77">+L61+L63+L65+L67</f>
        <v>1267.6338</v>
      </c>
      <c r="M76" s="28">
        <f t="shared" si="19"/>
        <v>1075.3921</v>
      </c>
      <c r="N76" s="28">
        <f t="shared" si="19"/>
        <v>538.0975999999999</v>
      </c>
      <c r="O76" s="28">
        <f t="shared" si="19"/>
        <v>542.4133</v>
      </c>
      <c r="P76" s="8">
        <f t="shared" si="19"/>
        <v>9767.967600000002</v>
      </c>
    </row>
    <row r="77" spans="1:16" ht="19.5" customHeight="1">
      <c r="A77" s="69" t="s">
        <v>51</v>
      </c>
      <c r="B77" s="381"/>
      <c r="C77" s="48" t="s">
        <v>18</v>
      </c>
      <c r="D77" s="25">
        <f aca="true" t="shared" si="20" ref="D77:K77">+D62+D64+D66+D68</f>
        <v>76882.995</v>
      </c>
      <c r="E77" s="25">
        <f t="shared" si="20"/>
        <v>91790.45300000001</v>
      </c>
      <c r="F77" s="25">
        <f t="shared" si="20"/>
        <v>114141.124</v>
      </c>
      <c r="G77" s="25">
        <f t="shared" si="20"/>
        <v>85435.083</v>
      </c>
      <c r="H77" s="25">
        <f t="shared" si="20"/>
        <v>91921.152</v>
      </c>
      <c r="I77" s="86">
        <f t="shared" si="20"/>
        <v>151101.69600000003</v>
      </c>
      <c r="J77" s="86">
        <f t="shared" si="20"/>
        <v>110334.318</v>
      </c>
      <c r="K77" s="25">
        <f t="shared" si="20"/>
        <v>110869.458</v>
      </c>
      <c r="L77" s="86">
        <f t="shared" si="19"/>
        <v>162134.306</v>
      </c>
      <c r="M77" s="97">
        <f t="shared" si="19"/>
        <v>106772.139</v>
      </c>
      <c r="N77" s="86">
        <f t="shared" si="19"/>
        <v>54298.363</v>
      </c>
      <c r="O77" s="86">
        <f t="shared" si="19"/>
        <v>67776.86</v>
      </c>
      <c r="P77" s="9">
        <f t="shared" si="19"/>
        <v>1223457.947</v>
      </c>
    </row>
    <row r="78" spans="1:16" ht="19.5" customHeight="1">
      <c r="A78" s="44" t="s">
        <v>0</v>
      </c>
      <c r="B78" s="382" t="s">
        <v>54</v>
      </c>
      <c r="C78" s="54" t="s">
        <v>16</v>
      </c>
      <c r="D78" s="284">
        <v>0.5016</v>
      </c>
      <c r="E78" s="284">
        <v>0.0606</v>
      </c>
      <c r="F78" s="305">
        <v>0.0992</v>
      </c>
      <c r="G78" s="284">
        <v>0.1109</v>
      </c>
      <c r="H78" s="286">
        <v>0.8649</v>
      </c>
      <c r="I78" s="285">
        <v>5.9697</v>
      </c>
      <c r="J78" s="285">
        <v>5.9949</v>
      </c>
      <c r="K78" s="284">
        <v>3.2992</v>
      </c>
      <c r="L78" s="284">
        <v>4.4639</v>
      </c>
      <c r="M78" s="285">
        <v>3.4554</v>
      </c>
      <c r="N78" s="285">
        <v>3.7089</v>
      </c>
      <c r="O78" s="284">
        <v>1.4884</v>
      </c>
      <c r="P78" s="8">
        <f aca="true" t="shared" si="21" ref="P78:P107">SUM(D78:O78)</f>
        <v>30.017599999999998</v>
      </c>
    </row>
    <row r="79" spans="1:16" ht="19.5" customHeight="1">
      <c r="A79" s="44" t="s">
        <v>34</v>
      </c>
      <c r="B79" s="383"/>
      <c r="C79" s="48" t="s">
        <v>18</v>
      </c>
      <c r="D79" s="288">
        <v>797.068</v>
      </c>
      <c r="E79" s="288">
        <v>167.813</v>
      </c>
      <c r="F79" s="289">
        <v>297.103</v>
      </c>
      <c r="G79" s="288">
        <v>304.504</v>
      </c>
      <c r="H79" s="290">
        <v>1110.622</v>
      </c>
      <c r="I79" s="289">
        <v>3531.873</v>
      </c>
      <c r="J79" s="289">
        <v>4535.274</v>
      </c>
      <c r="K79" s="288">
        <v>5146.499</v>
      </c>
      <c r="L79" s="288">
        <v>7902.084</v>
      </c>
      <c r="M79" s="289">
        <v>6764.887</v>
      </c>
      <c r="N79" s="289">
        <v>4534.126</v>
      </c>
      <c r="O79" s="288">
        <v>2287.935</v>
      </c>
      <c r="P79" s="9">
        <f t="shared" si="21"/>
        <v>37379.788</v>
      </c>
    </row>
    <row r="80" spans="1:16" ht="19.5" customHeight="1">
      <c r="A80" s="44" t="s">
        <v>0</v>
      </c>
      <c r="B80" s="382" t="s">
        <v>55</v>
      </c>
      <c r="C80" s="54" t="s">
        <v>16</v>
      </c>
      <c r="D80" s="284"/>
      <c r="E80" s="284">
        <v>0.01</v>
      </c>
      <c r="F80" s="285">
        <v>0.0134</v>
      </c>
      <c r="G80" s="284">
        <v>0.02</v>
      </c>
      <c r="H80" s="286"/>
      <c r="I80" s="285"/>
      <c r="J80" s="285"/>
      <c r="K80" s="284"/>
      <c r="L80" s="284"/>
      <c r="M80" s="285"/>
      <c r="N80" s="285"/>
      <c r="O80" s="284">
        <v>0.0166</v>
      </c>
      <c r="P80" s="8">
        <f t="shared" si="21"/>
        <v>0.06</v>
      </c>
    </row>
    <row r="81" spans="1:16" ht="19.5" customHeight="1">
      <c r="A81" s="44" t="s">
        <v>0</v>
      </c>
      <c r="B81" s="383"/>
      <c r="C81" s="48" t="s">
        <v>18</v>
      </c>
      <c r="D81" s="288"/>
      <c r="E81" s="288">
        <v>4.725</v>
      </c>
      <c r="F81" s="289">
        <v>7.071</v>
      </c>
      <c r="G81" s="288">
        <v>8.64</v>
      </c>
      <c r="H81" s="290"/>
      <c r="I81" s="289"/>
      <c r="J81" s="289"/>
      <c r="K81" s="288"/>
      <c r="L81" s="288"/>
      <c r="M81" s="289"/>
      <c r="N81" s="289"/>
      <c r="O81" s="288">
        <v>6.007</v>
      </c>
      <c r="P81" s="9">
        <f t="shared" si="21"/>
        <v>26.442999999999998</v>
      </c>
    </row>
    <row r="82" spans="1:16" ht="19.5" customHeight="1">
      <c r="A82" s="44" t="s">
        <v>56</v>
      </c>
      <c r="B82" s="47" t="s">
        <v>57</v>
      </c>
      <c r="C82" s="54" t="s">
        <v>16</v>
      </c>
      <c r="D82" s="284"/>
      <c r="E82" s="284"/>
      <c r="F82" s="285"/>
      <c r="G82" s="284"/>
      <c r="H82" s="286"/>
      <c r="I82" s="285"/>
      <c r="J82" s="285"/>
      <c r="K82" s="284"/>
      <c r="L82" s="284"/>
      <c r="M82" s="285"/>
      <c r="N82" s="285"/>
      <c r="O82" s="284"/>
      <c r="P82" s="8"/>
    </row>
    <row r="83" spans="1:16" ht="19.5" customHeight="1">
      <c r="A83" s="50"/>
      <c r="B83" s="48" t="s">
        <v>58</v>
      </c>
      <c r="C83" s="48" t="s">
        <v>18</v>
      </c>
      <c r="D83" s="288"/>
      <c r="E83" s="288"/>
      <c r="F83" s="289"/>
      <c r="G83" s="288"/>
      <c r="H83" s="290"/>
      <c r="I83" s="289"/>
      <c r="J83" s="289"/>
      <c r="K83" s="288"/>
      <c r="L83" s="288"/>
      <c r="M83" s="289"/>
      <c r="N83" s="289"/>
      <c r="O83" s="288"/>
      <c r="P83" s="9"/>
    </row>
    <row r="84" spans="1:16" ht="19.5" customHeight="1">
      <c r="A84" s="50"/>
      <c r="B84" s="382" t="s">
        <v>59</v>
      </c>
      <c r="C84" s="54" t="s">
        <v>16</v>
      </c>
      <c r="D84" s="284"/>
      <c r="E84" s="284"/>
      <c r="F84" s="285"/>
      <c r="G84" s="284"/>
      <c r="H84" s="286"/>
      <c r="I84" s="285"/>
      <c r="J84" s="285"/>
      <c r="K84" s="284"/>
      <c r="L84" s="284"/>
      <c r="M84" s="285"/>
      <c r="N84" s="285"/>
      <c r="O84" s="284"/>
      <c r="P84" s="8"/>
    </row>
    <row r="85" spans="1:16" ht="19.5" customHeight="1">
      <c r="A85" s="44" t="s">
        <v>17</v>
      </c>
      <c r="B85" s="383"/>
      <c r="C85" s="48" t="s">
        <v>18</v>
      </c>
      <c r="D85" s="288"/>
      <c r="E85" s="288"/>
      <c r="F85" s="289"/>
      <c r="G85" s="288"/>
      <c r="H85" s="290"/>
      <c r="I85" s="289"/>
      <c r="J85" s="289"/>
      <c r="K85" s="288"/>
      <c r="L85" s="288"/>
      <c r="M85" s="289"/>
      <c r="N85" s="289"/>
      <c r="O85" s="288"/>
      <c r="P85" s="9"/>
    </row>
    <row r="86" spans="1:16" ht="19.5" customHeight="1">
      <c r="A86" s="50"/>
      <c r="B86" s="47" t="s">
        <v>20</v>
      </c>
      <c r="C86" s="54" t="s">
        <v>16</v>
      </c>
      <c r="D86" s="284">
        <v>7.028</v>
      </c>
      <c r="E86" s="284">
        <v>5.4377</v>
      </c>
      <c r="F86" s="285">
        <v>5.0003</v>
      </c>
      <c r="G86" s="284">
        <v>3.3405</v>
      </c>
      <c r="H86" s="286">
        <v>3.8313</v>
      </c>
      <c r="I86" s="285">
        <v>4.1887</v>
      </c>
      <c r="J86" s="285">
        <v>1.7983</v>
      </c>
      <c r="K86" s="284">
        <v>1.1589</v>
      </c>
      <c r="L86" s="284">
        <v>0.5917</v>
      </c>
      <c r="M86" s="285">
        <v>0.8329</v>
      </c>
      <c r="N86" s="285">
        <v>2.3117</v>
      </c>
      <c r="O86" s="284">
        <v>4.341</v>
      </c>
      <c r="P86" s="8">
        <f t="shared" si="21"/>
        <v>39.861000000000004</v>
      </c>
    </row>
    <row r="87" spans="1:16" ht="19.5" customHeight="1">
      <c r="A87" s="50"/>
      <c r="B87" s="48" t="s">
        <v>60</v>
      </c>
      <c r="C87" s="48" t="s">
        <v>18</v>
      </c>
      <c r="D87" s="288">
        <v>3380.844</v>
      </c>
      <c r="E87" s="288">
        <v>2656.658</v>
      </c>
      <c r="F87" s="289">
        <v>2658.091</v>
      </c>
      <c r="G87" s="288">
        <v>1855.205</v>
      </c>
      <c r="H87" s="290">
        <v>1937.905</v>
      </c>
      <c r="I87" s="289">
        <v>3205.436</v>
      </c>
      <c r="J87" s="289">
        <v>2774.368</v>
      </c>
      <c r="K87" s="288">
        <v>1998.033</v>
      </c>
      <c r="L87" s="288">
        <v>752.828</v>
      </c>
      <c r="M87" s="289">
        <v>1266.213</v>
      </c>
      <c r="N87" s="289">
        <v>1945.655</v>
      </c>
      <c r="O87" s="288">
        <v>5397.353</v>
      </c>
      <c r="P87" s="9">
        <f t="shared" si="21"/>
        <v>29828.589</v>
      </c>
    </row>
    <row r="88" spans="1:16" ht="19.5" customHeight="1">
      <c r="A88" s="44" t="s">
        <v>23</v>
      </c>
      <c r="B88" s="380" t="s">
        <v>114</v>
      </c>
      <c r="C88" s="140" t="s">
        <v>16</v>
      </c>
      <c r="D88" s="184">
        <f aca="true" t="shared" si="22" ref="D88:K88">+D78+D80+D82+D84+D86</f>
        <v>7.529599999999999</v>
      </c>
      <c r="E88" s="26">
        <f t="shared" si="22"/>
        <v>5.5083</v>
      </c>
      <c r="F88" s="26">
        <f t="shared" si="22"/>
        <v>5.1129</v>
      </c>
      <c r="G88" s="26">
        <f t="shared" si="22"/>
        <v>3.4714</v>
      </c>
      <c r="H88" s="26">
        <f>+H78+H80+H82+H84+H86</f>
        <v>4.6962</v>
      </c>
      <c r="I88" s="28">
        <f t="shared" si="22"/>
        <v>10.1584</v>
      </c>
      <c r="J88" s="28">
        <f t="shared" si="22"/>
        <v>7.793200000000001</v>
      </c>
      <c r="K88" s="26">
        <f t="shared" si="22"/>
        <v>4.4581</v>
      </c>
      <c r="L88" s="28">
        <f aca="true" t="shared" si="23" ref="L88:O89">+L78+L80+L82+L84+L86</f>
        <v>5.0556</v>
      </c>
      <c r="M88" s="28">
        <f t="shared" si="23"/>
        <v>4.2883</v>
      </c>
      <c r="N88" s="28">
        <f t="shared" si="23"/>
        <v>6.0206</v>
      </c>
      <c r="O88" s="28">
        <f t="shared" si="23"/>
        <v>5.846</v>
      </c>
      <c r="P88" s="8">
        <f>SUM(D88:O88)</f>
        <v>69.9386</v>
      </c>
    </row>
    <row r="89" spans="1:16" ht="19.5" customHeight="1">
      <c r="A89" s="49"/>
      <c r="B89" s="381"/>
      <c r="C89" s="48" t="s">
        <v>18</v>
      </c>
      <c r="D89" s="25">
        <f aca="true" t="shared" si="24" ref="D89:K89">+D79+D81+D83+D85+D87</f>
        <v>4177.912</v>
      </c>
      <c r="E89" s="25">
        <f t="shared" si="24"/>
        <v>2829.196</v>
      </c>
      <c r="F89" s="25">
        <f t="shared" si="24"/>
        <v>2962.265</v>
      </c>
      <c r="G89" s="25">
        <f t="shared" si="24"/>
        <v>2168.349</v>
      </c>
      <c r="H89" s="25">
        <f>+H79+H81+H83+H85+H87</f>
        <v>3048.527</v>
      </c>
      <c r="I89" s="86">
        <f t="shared" si="24"/>
        <v>6737.309</v>
      </c>
      <c r="J89" s="86">
        <f t="shared" si="24"/>
        <v>7309.642</v>
      </c>
      <c r="K89" s="25">
        <f t="shared" si="24"/>
        <v>7144.531999999999</v>
      </c>
      <c r="L89" s="86">
        <f t="shared" si="23"/>
        <v>8654.912</v>
      </c>
      <c r="M89" s="86">
        <f t="shared" si="23"/>
        <v>8031.099999999999</v>
      </c>
      <c r="N89" s="86">
        <f t="shared" si="23"/>
        <v>6479.781</v>
      </c>
      <c r="O89" s="86">
        <f t="shared" si="23"/>
        <v>7691.295</v>
      </c>
      <c r="P89" s="9">
        <f>SUM(D89:O89)</f>
        <v>67234.82</v>
      </c>
    </row>
    <row r="90" spans="1:16" ht="19.5" customHeight="1">
      <c r="A90" s="376" t="s">
        <v>118</v>
      </c>
      <c r="B90" s="377"/>
      <c r="C90" s="54" t="s">
        <v>16</v>
      </c>
      <c r="D90" s="284">
        <v>3.8251</v>
      </c>
      <c r="E90" s="284">
        <v>1.5275</v>
      </c>
      <c r="F90" s="285">
        <v>1.3705</v>
      </c>
      <c r="G90" s="284">
        <v>1.3526</v>
      </c>
      <c r="H90" s="286">
        <v>0.4938</v>
      </c>
      <c r="I90" s="285">
        <v>5.3526</v>
      </c>
      <c r="J90" s="285">
        <v>10.2199</v>
      </c>
      <c r="K90" s="284">
        <v>7.9309</v>
      </c>
      <c r="L90" s="284">
        <v>8.629</v>
      </c>
      <c r="M90" s="285">
        <v>6.5696</v>
      </c>
      <c r="N90" s="285">
        <v>9.5554</v>
      </c>
      <c r="O90" s="284">
        <v>7.3721</v>
      </c>
      <c r="P90" s="8">
        <f t="shared" si="21"/>
        <v>64.199</v>
      </c>
    </row>
    <row r="91" spans="1:16" ht="19.5" customHeight="1">
      <c r="A91" s="378"/>
      <c r="B91" s="379"/>
      <c r="C91" s="48" t="s">
        <v>18</v>
      </c>
      <c r="D91" s="288">
        <v>4674.436</v>
      </c>
      <c r="E91" s="288">
        <v>2552.358</v>
      </c>
      <c r="F91" s="289">
        <v>2864.057</v>
      </c>
      <c r="G91" s="288">
        <v>3103.038</v>
      </c>
      <c r="H91" s="290">
        <v>1206.328</v>
      </c>
      <c r="I91" s="289">
        <v>6820.764</v>
      </c>
      <c r="J91" s="289">
        <v>10293.754</v>
      </c>
      <c r="K91" s="288">
        <v>9766.513</v>
      </c>
      <c r="L91" s="288">
        <v>8078.909</v>
      </c>
      <c r="M91" s="289">
        <v>7530.888</v>
      </c>
      <c r="N91" s="289">
        <v>8539.974</v>
      </c>
      <c r="O91" s="288">
        <v>9593.536</v>
      </c>
      <c r="P91" s="9">
        <f t="shared" si="21"/>
        <v>75024.555</v>
      </c>
    </row>
    <row r="92" spans="1:16" ht="19.5" customHeight="1">
      <c r="A92" s="376" t="s">
        <v>61</v>
      </c>
      <c r="B92" s="377"/>
      <c r="C92" s="54" t="s">
        <v>16</v>
      </c>
      <c r="D92" s="284">
        <v>0</v>
      </c>
      <c r="E92" s="284">
        <v>0</v>
      </c>
      <c r="F92" s="285">
        <v>0.12</v>
      </c>
      <c r="G92" s="284">
        <v>0.25</v>
      </c>
      <c r="H92" s="286">
        <v>1.943</v>
      </c>
      <c r="I92" s="285">
        <v>0.2445</v>
      </c>
      <c r="J92" s="285">
        <v>0.0065</v>
      </c>
      <c r="K92" s="284"/>
      <c r="L92" s="284"/>
      <c r="M92" s="285"/>
      <c r="N92" s="285"/>
      <c r="O92" s="284"/>
      <c r="P92" s="8">
        <f t="shared" si="21"/>
        <v>2.564</v>
      </c>
    </row>
    <row r="93" spans="1:16" ht="19.5" customHeight="1">
      <c r="A93" s="378"/>
      <c r="B93" s="379"/>
      <c r="C93" s="48" t="s">
        <v>18</v>
      </c>
      <c r="D93" s="288">
        <v>10.753</v>
      </c>
      <c r="E93" s="288">
        <v>6.815</v>
      </c>
      <c r="F93" s="289">
        <v>29.894</v>
      </c>
      <c r="G93" s="288">
        <v>80.735</v>
      </c>
      <c r="H93" s="290">
        <v>154.236</v>
      </c>
      <c r="I93" s="289">
        <v>44.461</v>
      </c>
      <c r="J93" s="289">
        <v>12.12</v>
      </c>
      <c r="K93" s="288"/>
      <c r="L93" s="288"/>
      <c r="M93" s="289"/>
      <c r="N93" s="289"/>
      <c r="O93" s="288"/>
      <c r="P93" s="9">
        <f t="shared" si="21"/>
        <v>339.014</v>
      </c>
    </row>
    <row r="94" spans="1:16" ht="19.5" customHeight="1">
      <c r="A94" s="376" t="s">
        <v>119</v>
      </c>
      <c r="B94" s="377"/>
      <c r="C94" s="54" t="s">
        <v>16</v>
      </c>
      <c r="D94" s="284">
        <v>0</v>
      </c>
      <c r="E94" s="284">
        <v>0.0028</v>
      </c>
      <c r="F94" s="285">
        <v>0</v>
      </c>
      <c r="G94" s="284">
        <v>0.0015</v>
      </c>
      <c r="H94" s="286"/>
      <c r="I94" s="285">
        <v>0.006</v>
      </c>
      <c r="J94" s="285"/>
      <c r="K94" s="284"/>
      <c r="L94" s="284"/>
      <c r="M94" s="285">
        <v>0</v>
      </c>
      <c r="N94" s="285"/>
      <c r="O94" s="284">
        <v>0</v>
      </c>
      <c r="P94" s="8">
        <f t="shared" si="21"/>
        <v>0.0103</v>
      </c>
    </row>
    <row r="95" spans="1:16" ht="19.5" customHeight="1">
      <c r="A95" s="378"/>
      <c r="B95" s="379"/>
      <c r="C95" s="48" t="s">
        <v>18</v>
      </c>
      <c r="D95" s="288">
        <v>0.336</v>
      </c>
      <c r="E95" s="288">
        <v>6.132</v>
      </c>
      <c r="F95" s="289">
        <v>2.972</v>
      </c>
      <c r="G95" s="288">
        <v>3.969</v>
      </c>
      <c r="H95" s="290"/>
      <c r="I95" s="289">
        <v>12.96</v>
      </c>
      <c r="J95" s="289"/>
      <c r="K95" s="288"/>
      <c r="L95" s="288"/>
      <c r="M95" s="289">
        <v>2.797</v>
      </c>
      <c r="N95" s="289"/>
      <c r="O95" s="288">
        <v>1.13</v>
      </c>
      <c r="P95" s="9">
        <f t="shared" si="21"/>
        <v>30.296</v>
      </c>
    </row>
    <row r="96" spans="1:16" ht="19.5" customHeight="1">
      <c r="A96" s="376" t="s">
        <v>120</v>
      </c>
      <c r="B96" s="377"/>
      <c r="C96" s="54" t="s">
        <v>16</v>
      </c>
      <c r="D96" s="284">
        <v>0.0033</v>
      </c>
      <c r="E96" s="284">
        <v>0.0446</v>
      </c>
      <c r="F96" s="285">
        <v>0.0281</v>
      </c>
      <c r="G96" s="284">
        <v>0.0138</v>
      </c>
      <c r="H96" s="286">
        <v>0</v>
      </c>
      <c r="I96" s="285">
        <v>0.0015</v>
      </c>
      <c r="J96" s="285">
        <v>0.003</v>
      </c>
      <c r="K96" s="284">
        <v>0</v>
      </c>
      <c r="L96" s="284">
        <v>0.0067</v>
      </c>
      <c r="M96" s="285"/>
      <c r="N96" s="285">
        <v>0.0071</v>
      </c>
      <c r="O96" s="284">
        <v>0.025</v>
      </c>
      <c r="P96" s="8">
        <f t="shared" si="21"/>
        <v>0.1331</v>
      </c>
    </row>
    <row r="97" spans="1:16" ht="19.5" customHeight="1">
      <c r="A97" s="378"/>
      <c r="B97" s="379"/>
      <c r="C97" s="48" t="s">
        <v>18</v>
      </c>
      <c r="D97" s="288">
        <v>4.176</v>
      </c>
      <c r="E97" s="288">
        <v>64.036</v>
      </c>
      <c r="F97" s="289">
        <v>40.919</v>
      </c>
      <c r="G97" s="288">
        <v>24.35</v>
      </c>
      <c r="H97" s="290">
        <v>1.285</v>
      </c>
      <c r="I97" s="289">
        <v>8.1</v>
      </c>
      <c r="J97" s="289">
        <v>13.284</v>
      </c>
      <c r="K97" s="288">
        <v>0.841</v>
      </c>
      <c r="L97" s="288">
        <v>11.202</v>
      </c>
      <c r="M97" s="289"/>
      <c r="N97" s="289">
        <v>10.844</v>
      </c>
      <c r="O97" s="288">
        <v>26.333</v>
      </c>
      <c r="P97" s="9">
        <f t="shared" si="21"/>
        <v>205.36999999999998</v>
      </c>
    </row>
    <row r="98" spans="1:16" ht="19.5" customHeight="1">
      <c r="A98" s="376" t="s">
        <v>63</v>
      </c>
      <c r="B98" s="377"/>
      <c r="C98" s="54" t="s">
        <v>16</v>
      </c>
      <c r="D98" s="284"/>
      <c r="E98" s="284"/>
      <c r="F98" s="285">
        <v>0.007</v>
      </c>
      <c r="G98" s="284">
        <v>0.007</v>
      </c>
      <c r="H98" s="286">
        <v>0</v>
      </c>
      <c r="I98" s="285">
        <v>0</v>
      </c>
      <c r="J98" s="285">
        <v>0</v>
      </c>
      <c r="K98" s="284"/>
      <c r="L98" s="284"/>
      <c r="M98" s="285"/>
      <c r="N98" s="285">
        <v>0</v>
      </c>
      <c r="O98" s="284">
        <v>0.01</v>
      </c>
      <c r="P98" s="8">
        <f t="shared" si="21"/>
        <v>0.024</v>
      </c>
    </row>
    <row r="99" spans="1:16" ht="19.5" customHeight="1">
      <c r="A99" s="378"/>
      <c r="B99" s="379"/>
      <c r="C99" s="48" t="s">
        <v>18</v>
      </c>
      <c r="D99" s="288"/>
      <c r="E99" s="288"/>
      <c r="F99" s="289">
        <v>5.145</v>
      </c>
      <c r="G99" s="288">
        <v>5.292</v>
      </c>
      <c r="H99" s="290">
        <v>3.672</v>
      </c>
      <c r="I99" s="289">
        <v>10.551</v>
      </c>
      <c r="J99" s="289">
        <v>2.592</v>
      </c>
      <c r="K99" s="288"/>
      <c r="L99" s="288"/>
      <c r="M99" s="289"/>
      <c r="N99" s="289">
        <v>6.48</v>
      </c>
      <c r="O99" s="288">
        <v>17.647</v>
      </c>
      <c r="P99" s="9">
        <f t="shared" si="21"/>
        <v>51.379</v>
      </c>
    </row>
    <row r="100" spans="1:16" ht="19.5" customHeight="1">
      <c r="A100" s="376" t="s">
        <v>121</v>
      </c>
      <c r="B100" s="377"/>
      <c r="C100" s="54" t="s">
        <v>16</v>
      </c>
      <c r="D100" s="284">
        <v>0.0584</v>
      </c>
      <c r="E100" s="284"/>
      <c r="F100" s="285">
        <v>0.003</v>
      </c>
      <c r="G100" s="284">
        <v>0.007</v>
      </c>
      <c r="H100" s="286">
        <v>0.028</v>
      </c>
      <c r="I100" s="285"/>
      <c r="J100" s="285">
        <v>0.012</v>
      </c>
      <c r="K100" s="284"/>
      <c r="L100" s="284">
        <v>0.0088</v>
      </c>
      <c r="M100" s="285"/>
      <c r="N100" s="285">
        <v>0.0065</v>
      </c>
      <c r="O100" s="284">
        <v>0.015</v>
      </c>
      <c r="P100" s="8">
        <f t="shared" si="21"/>
        <v>0.1387</v>
      </c>
    </row>
    <row r="101" spans="1:16" ht="19.5" customHeight="1">
      <c r="A101" s="378"/>
      <c r="B101" s="379"/>
      <c r="C101" s="48" t="s">
        <v>18</v>
      </c>
      <c r="D101" s="288">
        <v>19.5</v>
      </c>
      <c r="E101" s="288"/>
      <c r="F101" s="289">
        <v>2.52</v>
      </c>
      <c r="G101" s="288">
        <v>6.048</v>
      </c>
      <c r="H101" s="290">
        <v>18.36</v>
      </c>
      <c r="I101" s="289"/>
      <c r="J101" s="289">
        <v>6.48</v>
      </c>
      <c r="K101" s="288"/>
      <c r="L101" s="288">
        <v>7.02</v>
      </c>
      <c r="M101" s="289"/>
      <c r="N101" s="289">
        <v>3.51</v>
      </c>
      <c r="O101" s="288">
        <v>1.62</v>
      </c>
      <c r="P101" s="9">
        <f t="shared" si="21"/>
        <v>65.05799999999999</v>
      </c>
    </row>
    <row r="102" spans="1:16" ht="19.5" customHeight="1">
      <c r="A102" s="376" t="s">
        <v>64</v>
      </c>
      <c r="B102" s="377"/>
      <c r="C102" s="54" t="s">
        <v>16</v>
      </c>
      <c r="D102" s="284">
        <v>9.0986</v>
      </c>
      <c r="E102" s="284">
        <v>8.4872</v>
      </c>
      <c r="F102" s="285">
        <v>8.9605</v>
      </c>
      <c r="G102" s="284">
        <v>10.0298</v>
      </c>
      <c r="H102" s="286">
        <v>37.0904</v>
      </c>
      <c r="I102" s="285">
        <v>69.5051</v>
      </c>
      <c r="J102" s="285">
        <v>95.7678</v>
      </c>
      <c r="K102" s="284">
        <v>13.5975</v>
      </c>
      <c r="L102" s="284">
        <v>37.2176</v>
      </c>
      <c r="M102" s="285">
        <v>26.4959</v>
      </c>
      <c r="N102" s="285">
        <v>13.3071</v>
      </c>
      <c r="O102" s="284">
        <v>11.0666</v>
      </c>
      <c r="P102" s="8">
        <f t="shared" si="21"/>
        <v>340.6241</v>
      </c>
    </row>
    <row r="103" spans="1:16" ht="19.5" customHeight="1">
      <c r="A103" s="378"/>
      <c r="B103" s="379"/>
      <c r="C103" s="48" t="s">
        <v>18</v>
      </c>
      <c r="D103" s="288">
        <v>10540.641</v>
      </c>
      <c r="E103" s="288">
        <v>7633.651</v>
      </c>
      <c r="F103" s="289">
        <v>10130.955</v>
      </c>
      <c r="G103" s="288">
        <v>10490.722</v>
      </c>
      <c r="H103" s="290">
        <v>11757.73</v>
      </c>
      <c r="I103" s="289">
        <v>10926.321</v>
      </c>
      <c r="J103" s="289">
        <v>14329.89</v>
      </c>
      <c r="K103" s="288">
        <v>6292.262</v>
      </c>
      <c r="L103" s="288">
        <v>4391.647</v>
      </c>
      <c r="M103" s="289">
        <v>5410.062</v>
      </c>
      <c r="N103" s="289">
        <v>6808.175</v>
      </c>
      <c r="O103" s="288">
        <v>7675.601</v>
      </c>
      <c r="P103" s="9">
        <f t="shared" si="21"/>
        <v>106387.657</v>
      </c>
    </row>
    <row r="104" spans="1:16" ht="19.5" customHeight="1">
      <c r="A104" s="384" t="s">
        <v>65</v>
      </c>
      <c r="B104" s="385"/>
      <c r="C104" s="140" t="s">
        <v>16</v>
      </c>
      <c r="D104" s="184">
        <f aca="true" t="shared" si="25" ref="D104:K104">+D9+D11+D23+D29+D37+D39+D41+D43+D45+D47+D49+D51+D53+D59+D76+D88+D90+D92+D94+D96+D98+D100+D102</f>
        <v>2902.001299999999</v>
      </c>
      <c r="E104" s="26">
        <f t="shared" si="25"/>
        <v>1909.9268</v>
      </c>
      <c r="F104" s="26">
        <f t="shared" si="25"/>
        <v>1146.6680999999999</v>
      </c>
      <c r="G104" s="26">
        <f t="shared" si="25"/>
        <v>971.0308999999999</v>
      </c>
      <c r="H104" s="26">
        <f t="shared" si="25"/>
        <v>1305.1171000000002</v>
      </c>
      <c r="I104" s="28">
        <f t="shared" si="25"/>
        <v>5929.418700000002</v>
      </c>
      <c r="J104" s="28">
        <f t="shared" si="25"/>
        <v>12263.2353</v>
      </c>
      <c r="K104" s="26">
        <f t="shared" si="25"/>
        <v>5776.783</v>
      </c>
      <c r="L104" s="28">
        <f aca="true" t="shared" si="26" ref="L104:O105">+L9+L11+L23+L29+L37+L39+L41+L43+L45+L47+L49+L51+L53+L59+L76+L88+L90+L92+L94+L96+L98+L100+L102</f>
        <v>11792.8853</v>
      </c>
      <c r="M104" s="28">
        <f t="shared" si="26"/>
        <v>14439.527300000002</v>
      </c>
      <c r="N104" s="28">
        <f t="shared" si="26"/>
        <v>13363.6714</v>
      </c>
      <c r="O104" s="28">
        <f t="shared" si="26"/>
        <v>3854.736700000001</v>
      </c>
      <c r="P104" s="8">
        <f>SUM(D104:O104)</f>
        <v>75655.00189999999</v>
      </c>
    </row>
    <row r="105" spans="1:16" ht="19.5" customHeight="1">
      <c r="A105" s="386"/>
      <c r="B105" s="387"/>
      <c r="C105" s="48" t="s">
        <v>18</v>
      </c>
      <c r="D105" s="25">
        <f aca="true" t="shared" si="27" ref="D105:K105">+D10+D12+D24+D30+D38+D40+D42+D44+D46+D48+D50+D52+D54+D60+D77+D89+D91+D93+D95+D97+D99+D101+D103</f>
        <v>599832.0739999998</v>
      </c>
      <c r="E105" s="25">
        <f t="shared" si="27"/>
        <v>457359.334</v>
      </c>
      <c r="F105" s="25">
        <f t="shared" si="27"/>
        <v>377067.259</v>
      </c>
      <c r="G105" s="25">
        <f t="shared" si="27"/>
        <v>360008.747</v>
      </c>
      <c r="H105" s="25">
        <f t="shared" si="27"/>
        <v>338765.29299999995</v>
      </c>
      <c r="I105" s="86">
        <f t="shared" si="27"/>
        <v>1397368.1879999998</v>
      </c>
      <c r="J105" s="86">
        <f t="shared" si="27"/>
        <v>3376142.8239999996</v>
      </c>
      <c r="K105" s="25">
        <f t="shared" si="27"/>
        <v>2208027.1100000003</v>
      </c>
      <c r="L105" s="86">
        <f t="shared" si="26"/>
        <v>2874333.962</v>
      </c>
      <c r="M105" s="86">
        <f t="shared" si="26"/>
        <v>2354733.4189999998</v>
      </c>
      <c r="N105" s="86">
        <f t="shared" si="26"/>
        <v>1494242.0059999998</v>
      </c>
      <c r="O105" s="86">
        <f t="shared" si="26"/>
        <v>871292.141</v>
      </c>
      <c r="P105" s="9">
        <f>SUM(D105:O105)</f>
        <v>16709172.356999999</v>
      </c>
    </row>
    <row r="106" spans="1:16" ht="19.5" customHeight="1">
      <c r="A106" s="44" t="s">
        <v>0</v>
      </c>
      <c r="B106" s="382" t="s">
        <v>122</v>
      </c>
      <c r="C106" s="54" t="s">
        <v>16</v>
      </c>
      <c r="D106" s="284">
        <v>0.49</v>
      </c>
      <c r="E106" s="284">
        <v>0.062</v>
      </c>
      <c r="F106" s="285">
        <v>0.777</v>
      </c>
      <c r="G106" s="284">
        <v>1.794</v>
      </c>
      <c r="H106" s="286"/>
      <c r="I106" s="285">
        <v>0</v>
      </c>
      <c r="J106" s="285"/>
      <c r="K106" s="284"/>
      <c r="L106" s="284"/>
      <c r="M106" s="285"/>
      <c r="N106" s="285"/>
      <c r="O106" s="284"/>
      <c r="P106" s="8">
        <f t="shared" si="21"/>
        <v>3.123</v>
      </c>
    </row>
    <row r="107" spans="1:16" ht="19.5" customHeight="1">
      <c r="A107" s="44" t="s">
        <v>0</v>
      </c>
      <c r="B107" s="383"/>
      <c r="C107" s="48" t="s">
        <v>18</v>
      </c>
      <c r="D107" s="288">
        <v>137.624</v>
      </c>
      <c r="E107" s="288">
        <v>14.322</v>
      </c>
      <c r="F107" s="289">
        <v>188.278</v>
      </c>
      <c r="G107" s="288">
        <v>294.234</v>
      </c>
      <c r="H107" s="290"/>
      <c r="I107" s="289">
        <v>540</v>
      </c>
      <c r="J107" s="289"/>
      <c r="K107" s="288"/>
      <c r="L107" s="288"/>
      <c r="M107" s="289"/>
      <c r="N107" s="289"/>
      <c r="O107" s="288"/>
      <c r="P107" s="9">
        <f t="shared" si="21"/>
        <v>1174.458</v>
      </c>
    </row>
    <row r="108" spans="1:16" ht="19.5" customHeight="1">
      <c r="A108" s="44" t="s">
        <v>66</v>
      </c>
      <c r="B108" s="382" t="s">
        <v>123</v>
      </c>
      <c r="C108" s="54" t="s">
        <v>16</v>
      </c>
      <c r="D108" s="284">
        <v>11.4546</v>
      </c>
      <c r="E108" s="284">
        <v>3.1595</v>
      </c>
      <c r="F108" s="285">
        <v>2.2628</v>
      </c>
      <c r="G108" s="284">
        <v>2.2365</v>
      </c>
      <c r="H108" s="286">
        <v>5.0432</v>
      </c>
      <c r="I108" s="285">
        <v>12.5954</v>
      </c>
      <c r="J108" s="285">
        <v>13.2005</v>
      </c>
      <c r="K108" s="284">
        <v>3.8593</v>
      </c>
      <c r="L108" s="284">
        <v>1.3267</v>
      </c>
      <c r="M108" s="285">
        <v>1.654</v>
      </c>
      <c r="N108" s="285">
        <v>3.4954</v>
      </c>
      <c r="O108" s="284">
        <v>7.2328</v>
      </c>
      <c r="P108" s="8">
        <f aca="true" t="shared" si="28" ref="P108:P117">SUM(D108:O108)</f>
        <v>67.52069999999999</v>
      </c>
    </row>
    <row r="109" spans="1:16" ht="19.5" customHeight="1">
      <c r="A109" s="44" t="s">
        <v>0</v>
      </c>
      <c r="B109" s="383"/>
      <c r="C109" s="48" t="s">
        <v>18</v>
      </c>
      <c r="D109" s="288">
        <v>6178.059</v>
      </c>
      <c r="E109" s="288">
        <v>2547.688</v>
      </c>
      <c r="F109" s="289">
        <v>2407.727</v>
      </c>
      <c r="G109" s="288">
        <v>2294.253</v>
      </c>
      <c r="H109" s="290">
        <v>3688.374</v>
      </c>
      <c r="I109" s="289">
        <v>6811.402</v>
      </c>
      <c r="J109" s="289">
        <v>7577.701</v>
      </c>
      <c r="K109" s="288">
        <v>3236.414</v>
      </c>
      <c r="L109" s="288">
        <v>1619.722</v>
      </c>
      <c r="M109" s="289">
        <v>1855.524</v>
      </c>
      <c r="N109" s="289">
        <v>2902.032</v>
      </c>
      <c r="O109" s="288">
        <v>6617.06</v>
      </c>
      <c r="P109" s="9">
        <f t="shared" si="28"/>
        <v>47735.95599999999</v>
      </c>
    </row>
    <row r="110" spans="1:16" ht="19.5" customHeight="1">
      <c r="A110" s="44" t="s">
        <v>0</v>
      </c>
      <c r="B110" s="382" t="s">
        <v>124</v>
      </c>
      <c r="C110" s="54" t="s">
        <v>16</v>
      </c>
      <c r="D110" s="284">
        <v>7.3988</v>
      </c>
      <c r="E110" s="284">
        <v>3.711</v>
      </c>
      <c r="F110" s="285">
        <v>0.7551</v>
      </c>
      <c r="G110" s="284">
        <v>0.3963</v>
      </c>
      <c r="H110" s="286">
        <v>0.6615</v>
      </c>
      <c r="I110" s="285">
        <v>1.3144</v>
      </c>
      <c r="J110" s="285">
        <v>8.1142</v>
      </c>
      <c r="K110" s="284">
        <v>10.4335</v>
      </c>
      <c r="L110" s="284">
        <v>4.1973</v>
      </c>
      <c r="M110" s="285">
        <v>20.0207</v>
      </c>
      <c r="N110" s="285">
        <v>64.9092</v>
      </c>
      <c r="O110" s="284">
        <v>17.8696</v>
      </c>
      <c r="P110" s="8">
        <f t="shared" si="28"/>
        <v>139.7816</v>
      </c>
    </row>
    <row r="111" spans="1:16" ht="19.5" customHeight="1">
      <c r="A111" s="50"/>
      <c r="B111" s="383"/>
      <c r="C111" s="48" t="s">
        <v>18</v>
      </c>
      <c r="D111" s="288">
        <v>3926.127</v>
      </c>
      <c r="E111" s="288">
        <v>1321.451</v>
      </c>
      <c r="F111" s="289">
        <v>216.929</v>
      </c>
      <c r="G111" s="288">
        <v>330.588</v>
      </c>
      <c r="H111" s="290">
        <v>635.502</v>
      </c>
      <c r="I111" s="289">
        <v>547.092</v>
      </c>
      <c r="J111" s="289">
        <v>2718.768</v>
      </c>
      <c r="K111" s="288">
        <v>5204.161</v>
      </c>
      <c r="L111" s="288">
        <v>2116.654</v>
      </c>
      <c r="M111" s="289">
        <v>7615.181</v>
      </c>
      <c r="N111" s="289">
        <v>25258.357</v>
      </c>
      <c r="O111" s="288">
        <v>10690.238</v>
      </c>
      <c r="P111" s="9">
        <f t="shared" si="28"/>
        <v>60581.047999999995</v>
      </c>
    </row>
    <row r="112" spans="1:16" ht="19.5" customHeight="1">
      <c r="A112" s="44" t="s">
        <v>67</v>
      </c>
      <c r="B112" s="382" t="s">
        <v>125</v>
      </c>
      <c r="C112" s="54" t="s">
        <v>16</v>
      </c>
      <c r="D112" s="284">
        <v>0.002</v>
      </c>
      <c r="E112" s="284">
        <v>0</v>
      </c>
      <c r="F112" s="285">
        <v>0.01</v>
      </c>
      <c r="G112" s="284">
        <v>0.016</v>
      </c>
      <c r="H112" s="286">
        <v>0.0213</v>
      </c>
      <c r="I112" s="285">
        <v>0.1477</v>
      </c>
      <c r="J112" s="285">
        <v>0.0343</v>
      </c>
      <c r="K112" s="284">
        <v>0.0362</v>
      </c>
      <c r="L112" s="284">
        <v>0.0126</v>
      </c>
      <c r="M112" s="285">
        <v>0.0129</v>
      </c>
      <c r="N112" s="285">
        <v>0.0115</v>
      </c>
      <c r="O112" s="284">
        <v>0.0783</v>
      </c>
      <c r="P112" s="8">
        <f t="shared" si="28"/>
        <v>0.38280000000000003</v>
      </c>
    </row>
    <row r="113" spans="1:16" ht="19.5" customHeight="1">
      <c r="A113" s="50"/>
      <c r="B113" s="383"/>
      <c r="C113" s="48" t="s">
        <v>18</v>
      </c>
      <c r="D113" s="288">
        <v>4.296</v>
      </c>
      <c r="E113" s="288">
        <v>6.615</v>
      </c>
      <c r="F113" s="289">
        <v>17.423</v>
      </c>
      <c r="G113" s="288">
        <v>27.972</v>
      </c>
      <c r="H113" s="290">
        <v>45.016</v>
      </c>
      <c r="I113" s="289">
        <v>105.489</v>
      </c>
      <c r="J113" s="289">
        <v>44.409</v>
      </c>
      <c r="K113" s="288">
        <v>35.854</v>
      </c>
      <c r="L113" s="288">
        <v>17.364</v>
      </c>
      <c r="M113" s="289">
        <v>14.098</v>
      </c>
      <c r="N113" s="289">
        <v>23.654</v>
      </c>
      <c r="O113" s="288">
        <v>93.174</v>
      </c>
      <c r="P113" s="9">
        <f t="shared" si="28"/>
        <v>435.36400000000003</v>
      </c>
    </row>
    <row r="114" spans="1:16" ht="19.5" customHeight="1">
      <c r="A114" s="50"/>
      <c r="B114" s="382" t="s">
        <v>126</v>
      </c>
      <c r="C114" s="54" t="s">
        <v>16</v>
      </c>
      <c r="D114" s="284">
        <v>0.6393</v>
      </c>
      <c r="E114" s="284">
        <v>1.7912</v>
      </c>
      <c r="F114" s="285">
        <v>1.9811</v>
      </c>
      <c r="G114" s="284">
        <v>2.8526</v>
      </c>
      <c r="H114" s="286">
        <v>0.9185</v>
      </c>
      <c r="I114" s="285">
        <v>0.7855</v>
      </c>
      <c r="J114" s="285">
        <v>0.2794</v>
      </c>
      <c r="K114" s="284">
        <v>0.132</v>
      </c>
      <c r="L114" s="284">
        <v>0.4417</v>
      </c>
      <c r="M114" s="285">
        <v>0.5315</v>
      </c>
      <c r="N114" s="285">
        <v>0.3527</v>
      </c>
      <c r="O114" s="284">
        <v>0.1663</v>
      </c>
      <c r="P114" s="8">
        <f t="shared" si="28"/>
        <v>10.8718</v>
      </c>
    </row>
    <row r="115" spans="1:16" ht="19.5" customHeight="1">
      <c r="A115" s="50"/>
      <c r="B115" s="383"/>
      <c r="C115" s="48" t="s">
        <v>18</v>
      </c>
      <c r="D115" s="288">
        <v>478.787</v>
      </c>
      <c r="E115" s="288">
        <v>1667.218</v>
      </c>
      <c r="F115" s="289">
        <v>2522.07</v>
      </c>
      <c r="G115" s="288">
        <v>2637.697</v>
      </c>
      <c r="H115" s="290">
        <v>831.831</v>
      </c>
      <c r="I115" s="289">
        <v>644.975</v>
      </c>
      <c r="J115" s="289">
        <v>191.693</v>
      </c>
      <c r="K115" s="288">
        <v>114.386</v>
      </c>
      <c r="L115" s="288">
        <v>254.33</v>
      </c>
      <c r="M115" s="289">
        <v>533.625</v>
      </c>
      <c r="N115" s="289">
        <v>289.555</v>
      </c>
      <c r="O115" s="288">
        <v>162.817</v>
      </c>
      <c r="P115" s="9">
        <f t="shared" si="28"/>
        <v>10328.984</v>
      </c>
    </row>
    <row r="116" spans="1:16" ht="19.5" customHeight="1">
      <c r="A116" s="44" t="s">
        <v>68</v>
      </c>
      <c r="B116" s="382" t="s">
        <v>127</v>
      </c>
      <c r="C116" s="54" t="s">
        <v>16</v>
      </c>
      <c r="D116" s="284"/>
      <c r="E116" s="284"/>
      <c r="F116" s="285">
        <v>1375.11</v>
      </c>
      <c r="G116" s="284">
        <v>1499.64</v>
      </c>
      <c r="H116" s="286"/>
      <c r="I116" s="285"/>
      <c r="J116" s="285"/>
      <c r="K116" s="284"/>
      <c r="L116" s="284"/>
      <c r="M116" s="285"/>
      <c r="N116" s="285"/>
      <c r="O116" s="284"/>
      <c r="P116" s="8">
        <f t="shared" si="28"/>
        <v>2874.75</v>
      </c>
    </row>
    <row r="117" spans="1:16" ht="19.5" customHeight="1">
      <c r="A117" s="50"/>
      <c r="B117" s="383"/>
      <c r="C117" s="48" t="s">
        <v>18</v>
      </c>
      <c r="D117" s="288"/>
      <c r="E117" s="288"/>
      <c r="F117" s="289">
        <v>51884.877</v>
      </c>
      <c r="G117" s="288">
        <v>88182.247</v>
      </c>
      <c r="H117" s="290"/>
      <c r="I117" s="289"/>
      <c r="J117" s="289"/>
      <c r="K117" s="288"/>
      <c r="L117" s="288"/>
      <c r="M117" s="289"/>
      <c r="N117" s="289"/>
      <c r="O117" s="288"/>
      <c r="P117" s="9">
        <f t="shared" si="28"/>
        <v>140067.124</v>
      </c>
    </row>
    <row r="118" spans="1:16" ht="19.5" customHeight="1">
      <c r="A118" s="50"/>
      <c r="B118" s="382" t="s">
        <v>128</v>
      </c>
      <c r="C118" s="54" t="s">
        <v>16</v>
      </c>
      <c r="D118" s="284">
        <v>0.2625</v>
      </c>
      <c r="E118" s="284">
        <v>0.1617</v>
      </c>
      <c r="F118" s="285">
        <v>0.1445</v>
      </c>
      <c r="G118" s="284"/>
      <c r="H118" s="286"/>
      <c r="I118" s="285"/>
      <c r="J118" s="285"/>
      <c r="K118" s="284"/>
      <c r="L118" s="284"/>
      <c r="M118" s="285"/>
      <c r="N118" s="285">
        <v>0.2049</v>
      </c>
      <c r="O118" s="284">
        <v>0.3285</v>
      </c>
      <c r="P118" s="8">
        <f aca="true" t="shared" si="29" ref="P118:P131">SUM(D118:O118)</f>
        <v>1.1021</v>
      </c>
    </row>
    <row r="119" spans="1:16" ht="19.5" customHeight="1">
      <c r="A119" s="50"/>
      <c r="B119" s="383"/>
      <c r="C119" s="48" t="s">
        <v>18</v>
      </c>
      <c r="D119" s="288">
        <v>235.69</v>
      </c>
      <c r="E119" s="288">
        <v>160.718</v>
      </c>
      <c r="F119" s="289">
        <v>172.509</v>
      </c>
      <c r="G119" s="288"/>
      <c r="H119" s="290"/>
      <c r="I119" s="289"/>
      <c r="J119" s="289"/>
      <c r="K119" s="288"/>
      <c r="L119" s="288"/>
      <c r="M119" s="289"/>
      <c r="N119" s="289">
        <v>187.606</v>
      </c>
      <c r="O119" s="288">
        <v>371.248</v>
      </c>
      <c r="P119" s="9">
        <f t="shared" si="29"/>
        <v>1127.771</v>
      </c>
    </row>
    <row r="120" spans="1:16" ht="19.5" customHeight="1">
      <c r="A120" s="44" t="s">
        <v>70</v>
      </c>
      <c r="B120" s="382" t="s">
        <v>129</v>
      </c>
      <c r="C120" s="54" t="s">
        <v>16</v>
      </c>
      <c r="D120" s="284"/>
      <c r="E120" s="284">
        <v>0</v>
      </c>
      <c r="F120" s="285"/>
      <c r="G120" s="284"/>
      <c r="H120" s="286">
        <v>0.0558</v>
      </c>
      <c r="I120" s="285"/>
      <c r="J120" s="285"/>
      <c r="K120" s="284"/>
      <c r="L120" s="284"/>
      <c r="M120" s="285"/>
      <c r="N120" s="285"/>
      <c r="O120" s="284"/>
      <c r="P120" s="8">
        <f t="shared" si="29"/>
        <v>0.0558</v>
      </c>
    </row>
    <row r="121" spans="1:16" ht="19.5" customHeight="1">
      <c r="A121" s="50"/>
      <c r="B121" s="383"/>
      <c r="C121" s="48" t="s">
        <v>18</v>
      </c>
      <c r="D121" s="288"/>
      <c r="E121" s="288">
        <v>15.12</v>
      </c>
      <c r="F121" s="289"/>
      <c r="G121" s="288"/>
      <c r="H121" s="290">
        <v>70.602</v>
      </c>
      <c r="I121" s="289"/>
      <c r="J121" s="289"/>
      <c r="K121" s="288"/>
      <c r="L121" s="288"/>
      <c r="M121" s="289"/>
      <c r="N121" s="289"/>
      <c r="O121" s="288"/>
      <c r="P121" s="9">
        <f t="shared" si="29"/>
        <v>85.72200000000001</v>
      </c>
    </row>
    <row r="122" spans="1:16" ht="19.5" customHeight="1">
      <c r="A122" s="50"/>
      <c r="B122" s="382" t="s">
        <v>72</v>
      </c>
      <c r="C122" s="54" t="s">
        <v>16</v>
      </c>
      <c r="D122" s="284">
        <v>0.3956</v>
      </c>
      <c r="E122" s="284">
        <v>0.0572</v>
      </c>
      <c r="F122" s="285">
        <v>0.0453</v>
      </c>
      <c r="G122" s="284">
        <v>0.4892</v>
      </c>
      <c r="H122" s="286">
        <v>3.6083</v>
      </c>
      <c r="I122" s="285">
        <v>2.6385</v>
      </c>
      <c r="J122" s="285">
        <v>1.3455</v>
      </c>
      <c r="K122" s="284">
        <v>2.2875</v>
      </c>
      <c r="L122" s="284">
        <v>1.393</v>
      </c>
      <c r="M122" s="285">
        <v>0.8857</v>
      </c>
      <c r="N122" s="285">
        <v>1.7337</v>
      </c>
      <c r="O122" s="284">
        <v>2.2968</v>
      </c>
      <c r="P122" s="8">
        <f t="shared" si="29"/>
        <v>17.1763</v>
      </c>
    </row>
    <row r="123" spans="1:16" ht="19.5" customHeight="1">
      <c r="A123" s="50"/>
      <c r="B123" s="383"/>
      <c r="C123" s="48" t="s">
        <v>18</v>
      </c>
      <c r="D123" s="288">
        <v>537.999</v>
      </c>
      <c r="E123" s="288">
        <v>135.442</v>
      </c>
      <c r="F123" s="289">
        <v>112.963</v>
      </c>
      <c r="G123" s="288">
        <v>647.549</v>
      </c>
      <c r="H123" s="290">
        <v>3605.581</v>
      </c>
      <c r="I123" s="289">
        <v>3317.734</v>
      </c>
      <c r="J123" s="289">
        <v>1780.514</v>
      </c>
      <c r="K123" s="288">
        <v>3203.499</v>
      </c>
      <c r="L123" s="288">
        <v>2179.684</v>
      </c>
      <c r="M123" s="289">
        <v>1461.041</v>
      </c>
      <c r="N123" s="289">
        <v>2411.211</v>
      </c>
      <c r="O123" s="288">
        <v>3843.671</v>
      </c>
      <c r="P123" s="9">
        <f t="shared" si="29"/>
        <v>23236.888</v>
      </c>
    </row>
    <row r="124" spans="1:16" ht="19.5" customHeight="1">
      <c r="A124" s="44" t="s">
        <v>23</v>
      </c>
      <c r="B124" s="382" t="s">
        <v>130</v>
      </c>
      <c r="C124" s="54" t="s">
        <v>16</v>
      </c>
      <c r="D124" s="284">
        <v>0.9073</v>
      </c>
      <c r="E124" s="284">
        <v>1.1124</v>
      </c>
      <c r="F124" s="285">
        <v>0.9116</v>
      </c>
      <c r="G124" s="284">
        <v>0.4015</v>
      </c>
      <c r="H124" s="286">
        <v>0.2405</v>
      </c>
      <c r="I124" s="285">
        <v>0.6267</v>
      </c>
      <c r="J124" s="285">
        <v>1.701</v>
      </c>
      <c r="K124" s="284">
        <v>0.1812</v>
      </c>
      <c r="L124" s="284">
        <v>0.0675</v>
      </c>
      <c r="M124" s="285">
        <v>0.0628</v>
      </c>
      <c r="N124" s="285">
        <v>0.5137</v>
      </c>
      <c r="O124" s="284">
        <v>0.4067</v>
      </c>
      <c r="P124" s="8">
        <f t="shared" si="29"/>
        <v>7.132899999999999</v>
      </c>
    </row>
    <row r="125" spans="1:16" ht="19.5" customHeight="1">
      <c r="A125" s="50"/>
      <c r="B125" s="383"/>
      <c r="C125" s="48" t="s">
        <v>18</v>
      </c>
      <c r="D125" s="288">
        <v>284.561</v>
      </c>
      <c r="E125" s="288">
        <v>342.591</v>
      </c>
      <c r="F125" s="289">
        <v>329.58</v>
      </c>
      <c r="G125" s="288">
        <v>195.761</v>
      </c>
      <c r="H125" s="290">
        <v>200.535</v>
      </c>
      <c r="I125" s="289">
        <v>221.197</v>
      </c>
      <c r="J125" s="289">
        <v>336.478</v>
      </c>
      <c r="K125" s="288">
        <v>54.906</v>
      </c>
      <c r="L125" s="288">
        <v>34.094</v>
      </c>
      <c r="M125" s="289">
        <v>56.779</v>
      </c>
      <c r="N125" s="289">
        <v>261.942</v>
      </c>
      <c r="O125" s="288">
        <v>167.293</v>
      </c>
      <c r="P125" s="9">
        <f t="shared" si="29"/>
        <v>2485.717</v>
      </c>
    </row>
    <row r="126" spans="1:16" ht="19.5" customHeight="1">
      <c r="A126" s="50"/>
      <c r="B126" s="47" t="s">
        <v>20</v>
      </c>
      <c r="C126" s="54" t="s">
        <v>16</v>
      </c>
      <c r="D126" s="284"/>
      <c r="E126" s="284"/>
      <c r="F126" s="285">
        <v>0.69</v>
      </c>
      <c r="G126" s="284">
        <v>6.474</v>
      </c>
      <c r="H126" s="286">
        <v>27.6655</v>
      </c>
      <c r="I126" s="285">
        <v>19.103</v>
      </c>
      <c r="J126" s="285">
        <v>18.599</v>
      </c>
      <c r="K126" s="284">
        <v>5.793</v>
      </c>
      <c r="L126" s="284">
        <v>1.23</v>
      </c>
      <c r="M126" s="285">
        <v>0</v>
      </c>
      <c r="N126" s="285">
        <v>0</v>
      </c>
      <c r="O126" s="284">
        <v>0.03</v>
      </c>
      <c r="P126" s="8">
        <f t="shared" si="29"/>
        <v>79.58450000000002</v>
      </c>
    </row>
    <row r="127" spans="1:16" ht="19.5" customHeight="1">
      <c r="A127" s="50"/>
      <c r="B127" s="48" t="s">
        <v>73</v>
      </c>
      <c r="C127" s="48" t="s">
        <v>18</v>
      </c>
      <c r="D127" s="288"/>
      <c r="E127" s="288"/>
      <c r="F127" s="289">
        <v>272.963</v>
      </c>
      <c r="G127" s="288">
        <v>2002.257</v>
      </c>
      <c r="H127" s="290">
        <v>4693.057</v>
      </c>
      <c r="I127" s="289">
        <v>4882.25</v>
      </c>
      <c r="J127" s="289">
        <v>4003.566</v>
      </c>
      <c r="K127" s="288">
        <v>1638.52</v>
      </c>
      <c r="L127" s="288">
        <v>408.669</v>
      </c>
      <c r="M127" s="289">
        <v>135.217</v>
      </c>
      <c r="N127" s="289">
        <v>0.95</v>
      </c>
      <c r="O127" s="288">
        <v>73.246</v>
      </c>
      <c r="P127" s="9">
        <f t="shared" si="29"/>
        <v>18110.695000000003</v>
      </c>
    </row>
    <row r="128" spans="1:16" ht="19.5" customHeight="1">
      <c r="A128" s="50"/>
      <c r="B128" s="380" t="s">
        <v>107</v>
      </c>
      <c r="C128" s="140" t="s">
        <v>16</v>
      </c>
      <c r="D128" s="184">
        <f aca="true" t="shared" si="30" ref="D128:K128">+D106+D108+D110+D112+D114+D116+D118+D120+D122+D124+D126</f>
        <v>21.550099999999997</v>
      </c>
      <c r="E128" s="26">
        <f t="shared" si="30"/>
        <v>10.055</v>
      </c>
      <c r="F128" s="26">
        <f t="shared" si="30"/>
        <v>1382.6874</v>
      </c>
      <c r="G128" s="26">
        <f t="shared" si="30"/>
        <v>1514.3001</v>
      </c>
      <c r="H128" s="26">
        <f t="shared" si="30"/>
        <v>38.214600000000004</v>
      </c>
      <c r="I128" s="28">
        <f t="shared" si="30"/>
        <v>37.211200000000005</v>
      </c>
      <c r="J128" s="28">
        <f t="shared" si="30"/>
        <v>43.273900000000005</v>
      </c>
      <c r="K128" s="26">
        <f t="shared" si="30"/>
        <v>22.7227</v>
      </c>
      <c r="L128" s="83">
        <f aca="true" t="shared" si="31" ref="L128:O129">+L106+L108+L110+L112+L114+L116+L118+L120+L122+L124+L126</f>
        <v>8.6688</v>
      </c>
      <c r="M128" s="83">
        <f t="shared" si="31"/>
        <v>23.1676</v>
      </c>
      <c r="N128" s="83">
        <f t="shared" si="31"/>
        <v>71.22109999999999</v>
      </c>
      <c r="O128" s="28">
        <f t="shared" si="31"/>
        <v>28.409000000000002</v>
      </c>
      <c r="P128" s="8">
        <f>SUM(D128:O128)</f>
        <v>3201.4815000000003</v>
      </c>
    </row>
    <row r="129" spans="1:16" ht="19.5" customHeight="1">
      <c r="A129" s="49"/>
      <c r="B129" s="381"/>
      <c r="C129" s="48" t="s">
        <v>18</v>
      </c>
      <c r="D129" s="25">
        <f aca="true" t="shared" si="32" ref="D129:K129">+D107+D109+D111+D113+D115+D117+D119+D121+D123+D125+D127</f>
        <v>11783.143</v>
      </c>
      <c r="E129" s="25">
        <f t="shared" si="32"/>
        <v>6211.165</v>
      </c>
      <c r="F129" s="25">
        <f t="shared" si="32"/>
        <v>58125.31900000001</v>
      </c>
      <c r="G129" s="25">
        <f t="shared" si="32"/>
        <v>96612.558</v>
      </c>
      <c r="H129" s="25">
        <f t="shared" si="32"/>
        <v>13770.498</v>
      </c>
      <c r="I129" s="86">
        <f t="shared" si="32"/>
        <v>17070.139</v>
      </c>
      <c r="J129" s="86">
        <f t="shared" si="32"/>
        <v>16653.128999999997</v>
      </c>
      <c r="K129" s="25">
        <f t="shared" si="32"/>
        <v>13487.740000000002</v>
      </c>
      <c r="L129" s="86">
        <f t="shared" si="31"/>
        <v>6630.517000000001</v>
      </c>
      <c r="M129" s="86">
        <f t="shared" si="31"/>
        <v>11671.465</v>
      </c>
      <c r="N129" s="86">
        <f t="shared" si="31"/>
        <v>31335.306999999997</v>
      </c>
      <c r="O129" s="86">
        <f t="shared" si="31"/>
        <v>22018.746999999996</v>
      </c>
      <c r="P129" s="9">
        <f>SUM(D129:O129)</f>
        <v>305369.7269999999</v>
      </c>
    </row>
    <row r="130" spans="1:16" ht="19.5" customHeight="1">
      <c r="A130" s="44" t="s">
        <v>0</v>
      </c>
      <c r="B130" s="382" t="s">
        <v>74</v>
      </c>
      <c r="C130" s="54" t="s">
        <v>16</v>
      </c>
      <c r="D130" s="284"/>
      <c r="E130" s="284"/>
      <c r="F130" s="285">
        <v>0</v>
      </c>
      <c r="G130" s="284"/>
      <c r="H130" s="286">
        <v>0</v>
      </c>
      <c r="I130" s="285">
        <v>0</v>
      </c>
      <c r="J130" s="285"/>
      <c r="K130" s="284"/>
      <c r="L130" s="284"/>
      <c r="M130" s="285"/>
      <c r="N130" s="285"/>
      <c r="O130" s="284">
        <v>0</v>
      </c>
      <c r="P130" s="8">
        <f t="shared" si="29"/>
        <v>0</v>
      </c>
    </row>
    <row r="131" spans="1:16" ht="19.5" customHeight="1">
      <c r="A131" s="44" t="s">
        <v>0</v>
      </c>
      <c r="B131" s="383"/>
      <c r="C131" s="48" t="s">
        <v>18</v>
      </c>
      <c r="D131" s="288"/>
      <c r="E131" s="288"/>
      <c r="F131" s="289">
        <v>12.6</v>
      </c>
      <c r="G131" s="288"/>
      <c r="H131" s="290">
        <v>17.895</v>
      </c>
      <c r="I131" s="289">
        <v>5.319</v>
      </c>
      <c r="J131" s="289"/>
      <c r="K131" s="288"/>
      <c r="L131" s="288"/>
      <c r="M131" s="289"/>
      <c r="N131" s="289"/>
      <c r="O131" s="288">
        <v>6.134</v>
      </c>
      <c r="P131" s="9">
        <f t="shared" si="29"/>
        <v>41.948</v>
      </c>
    </row>
    <row r="132" spans="1:16" ht="19.5" customHeight="1">
      <c r="A132" s="44" t="s">
        <v>75</v>
      </c>
      <c r="B132" s="382" t="s">
        <v>76</v>
      </c>
      <c r="C132" s="54" t="s">
        <v>16</v>
      </c>
      <c r="D132" s="284">
        <v>34.7227</v>
      </c>
      <c r="E132" s="284">
        <v>41.7615</v>
      </c>
      <c r="F132" s="285">
        <v>42.477</v>
      </c>
      <c r="G132" s="284">
        <v>21.072</v>
      </c>
      <c r="H132" s="286">
        <v>2.5375</v>
      </c>
      <c r="I132" s="285">
        <v>1.099</v>
      </c>
      <c r="J132" s="285">
        <v>0.13</v>
      </c>
      <c r="K132" s="284">
        <v>0</v>
      </c>
      <c r="L132" s="284">
        <v>0</v>
      </c>
      <c r="M132" s="285"/>
      <c r="N132" s="285">
        <v>0.1375</v>
      </c>
      <c r="O132" s="284">
        <v>7.8182</v>
      </c>
      <c r="P132" s="8">
        <f>SUM(D132:O132)</f>
        <v>151.75539999999995</v>
      </c>
    </row>
    <row r="133" spans="1:16" ht="19.5" customHeight="1">
      <c r="A133" s="50"/>
      <c r="B133" s="383"/>
      <c r="C133" s="48" t="s">
        <v>18</v>
      </c>
      <c r="D133" s="288">
        <v>7964.063</v>
      </c>
      <c r="E133" s="288">
        <v>7543.765</v>
      </c>
      <c r="F133" s="289">
        <v>7456.263</v>
      </c>
      <c r="G133" s="288">
        <v>5309.383</v>
      </c>
      <c r="H133" s="290">
        <v>686.791</v>
      </c>
      <c r="I133" s="289">
        <v>38.34</v>
      </c>
      <c r="J133" s="289">
        <v>32.13</v>
      </c>
      <c r="K133" s="288">
        <v>46.17</v>
      </c>
      <c r="L133" s="288">
        <v>15.39</v>
      </c>
      <c r="M133" s="289"/>
      <c r="N133" s="289">
        <v>77.068</v>
      </c>
      <c r="O133" s="288">
        <v>2354.649</v>
      </c>
      <c r="P133" s="9">
        <f>SUM(D133:O133)</f>
        <v>31524.012000000002</v>
      </c>
    </row>
    <row r="134" spans="1:16" ht="19.5" customHeight="1">
      <c r="A134" s="44" t="s">
        <v>77</v>
      </c>
      <c r="B134" s="47" t="s">
        <v>20</v>
      </c>
      <c r="C134" s="54" t="s">
        <v>16</v>
      </c>
      <c r="D134" s="319">
        <v>0.1537</v>
      </c>
      <c r="E134" s="319">
        <v>0.8688</v>
      </c>
      <c r="F134" s="320">
        <v>1.1501</v>
      </c>
      <c r="G134" s="321">
        <v>0.5768</v>
      </c>
      <c r="H134" s="322">
        <v>0.3761</v>
      </c>
      <c r="I134" s="320">
        <v>0.0075</v>
      </c>
      <c r="J134" s="320"/>
      <c r="K134" s="319"/>
      <c r="L134" s="319"/>
      <c r="M134" s="320"/>
      <c r="N134" s="320"/>
      <c r="O134" s="319">
        <v>0.0722</v>
      </c>
      <c r="P134" s="194">
        <f>SUM(D134:O134)</f>
        <v>3.2052</v>
      </c>
    </row>
    <row r="135" spans="1:16" ht="19.5" customHeight="1">
      <c r="A135" s="50"/>
      <c r="B135" s="47" t="s">
        <v>78</v>
      </c>
      <c r="C135" s="54" t="s">
        <v>79</v>
      </c>
      <c r="D135" s="284"/>
      <c r="E135" s="284"/>
      <c r="F135" s="285"/>
      <c r="G135" s="284"/>
      <c r="H135" s="286"/>
      <c r="I135" s="285"/>
      <c r="J135" s="285"/>
      <c r="K135" s="284"/>
      <c r="L135" s="284"/>
      <c r="M135" s="285"/>
      <c r="N135" s="285"/>
      <c r="O135" s="284"/>
      <c r="P135" s="8"/>
    </row>
    <row r="136" spans="1:16" ht="19.5" customHeight="1">
      <c r="A136" s="44" t="s">
        <v>23</v>
      </c>
      <c r="B136" s="2"/>
      <c r="C136" s="139" t="s">
        <v>18</v>
      </c>
      <c r="D136" s="288">
        <v>301.844</v>
      </c>
      <c r="E136" s="288">
        <v>1458.249</v>
      </c>
      <c r="F136" s="289">
        <v>1335.621</v>
      </c>
      <c r="G136" s="288">
        <v>657.699</v>
      </c>
      <c r="H136" s="290">
        <v>289.874</v>
      </c>
      <c r="I136" s="289">
        <v>3.888</v>
      </c>
      <c r="J136" s="289"/>
      <c r="K136" s="288"/>
      <c r="L136" s="288"/>
      <c r="M136" s="289"/>
      <c r="N136" s="289"/>
      <c r="O136" s="288">
        <v>73.498</v>
      </c>
      <c r="P136" s="9">
        <f>SUM(D136:O136)</f>
        <v>4120.673</v>
      </c>
    </row>
    <row r="137" spans="1:16" ht="19.5" customHeight="1">
      <c r="A137" s="50"/>
      <c r="B137" s="55" t="s">
        <v>0</v>
      </c>
      <c r="C137" s="54" t="s">
        <v>16</v>
      </c>
      <c r="D137" s="184">
        <f aca="true" t="shared" si="33" ref="D137:I137">D130+D132+D134</f>
        <v>34.876400000000004</v>
      </c>
      <c r="E137" s="26">
        <f t="shared" si="33"/>
        <v>42.6303</v>
      </c>
      <c r="F137" s="26">
        <f t="shared" si="33"/>
        <v>43.6271</v>
      </c>
      <c r="G137" s="26">
        <f t="shared" si="33"/>
        <v>21.648799999999998</v>
      </c>
      <c r="H137" s="26">
        <f t="shared" si="33"/>
        <v>2.9136</v>
      </c>
      <c r="I137" s="28">
        <f t="shared" si="33"/>
        <v>1.1065</v>
      </c>
      <c r="J137" s="28">
        <f>J130+J132+J134</f>
        <v>0.13</v>
      </c>
      <c r="K137" s="26">
        <f>+K130+K132+K134</f>
        <v>0</v>
      </c>
      <c r="L137" s="28">
        <f>+L130+L132+L134</f>
        <v>0</v>
      </c>
      <c r="M137" s="28"/>
      <c r="N137" s="28">
        <f>+N130+N132+N134</f>
        <v>0.1375</v>
      </c>
      <c r="O137" s="28">
        <f>+O130+O132+O134</f>
        <v>7.8904</v>
      </c>
      <c r="P137" s="194">
        <f aca="true" t="shared" si="34" ref="P137:P142">SUM(D137:O137)</f>
        <v>154.9606</v>
      </c>
    </row>
    <row r="138" spans="1:16" ht="19.5" customHeight="1">
      <c r="A138" s="50"/>
      <c r="B138" s="56" t="s">
        <v>107</v>
      </c>
      <c r="C138" s="213" t="s">
        <v>79</v>
      </c>
      <c r="D138" s="183"/>
      <c r="E138" s="183"/>
      <c r="F138" s="183"/>
      <c r="G138" s="183"/>
      <c r="H138" s="183"/>
      <c r="I138" s="182"/>
      <c r="J138" s="182"/>
      <c r="K138" s="183"/>
      <c r="L138" s="182"/>
      <c r="M138" s="182"/>
      <c r="N138" s="182"/>
      <c r="O138" s="182"/>
      <c r="P138" s="185"/>
    </row>
    <row r="139" spans="1:16" ht="19.5" customHeight="1">
      <c r="A139" s="49"/>
      <c r="B139" s="2"/>
      <c r="C139" s="48" t="s">
        <v>18</v>
      </c>
      <c r="D139" s="25">
        <f aca="true" t="shared" si="35" ref="D139:I139">D131+D133+D136</f>
        <v>8265.907</v>
      </c>
      <c r="E139" s="25">
        <f t="shared" si="35"/>
        <v>9002.014000000001</v>
      </c>
      <c r="F139" s="25">
        <f t="shared" si="35"/>
        <v>8804.484</v>
      </c>
      <c r="G139" s="25">
        <f t="shared" si="35"/>
        <v>5967.081999999999</v>
      </c>
      <c r="H139" s="25">
        <f t="shared" si="35"/>
        <v>994.5600000000001</v>
      </c>
      <c r="I139" s="86">
        <f t="shared" si="35"/>
        <v>47.547000000000004</v>
      </c>
      <c r="J139" s="86">
        <f>J131+J133+J136</f>
        <v>32.13</v>
      </c>
      <c r="K139" s="25">
        <f>+K131+K133+K136</f>
        <v>46.17</v>
      </c>
      <c r="L139" s="86">
        <f>+L131+L133+L136</f>
        <v>15.39</v>
      </c>
      <c r="M139" s="86"/>
      <c r="N139" s="86">
        <f>+N131+N133+N136</f>
        <v>77.068</v>
      </c>
      <c r="O139" s="86">
        <f>+O131+O133+O136</f>
        <v>2434.281</v>
      </c>
      <c r="P139" s="9">
        <f t="shared" si="34"/>
        <v>35686.632999999994</v>
      </c>
    </row>
    <row r="140" spans="1:16" s="60" customFormat="1" ht="19.5" customHeight="1">
      <c r="A140" s="57"/>
      <c r="B140" s="58" t="s">
        <v>0</v>
      </c>
      <c r="C140" s="62" t="s">
        <v>16</v>
      </c>
      <c r="D140" s="323">
        <f aca="true" t="shared" si="36" ref="D140:I140">D137+D128+D104</f>
        <v>2958.427799999999</v>
      </c>
      <c r="E140" s="323">
        <f t="shared" si="36"/>
        <v>1962.6121</v>
      </c>
      <c r="F140" s="324">
        <f>F137+F128+F104</f>
        <v>2572.9826</v>
      </c>
      <c r="G140" s="323">
        <f t="shared" si="36"/>
        <v>2506.9797999999996</v>
      </c>
      <c r="H140" s="325">
        <f t="shared" si="36"/>
        <v>1346.2453000000003</v>
      </c>
      <c r="I140" s="326">
        <f t="shared" si="36"/>
        <v>5967.736400000002</v>
      </c>
      <c r="J140" s="326">
        <f aca="true" t="shared" si="37" ref="J140:O140">J137+J128+J104</f>
        <v>12306.6392</v>
      </c>
      <c r="K140" s="323">
        <f t="shared" si="37"/>
        <v>5799.505700000001</v>
      </c>
      <c r="L140" s="323">
        <f t="shared" si="37"/>
        <v>11801.5541</v>
      </c>
      <c r="M140" s="326">
        <f t="shared" si="37"/>
        <v>14462.694900000002</v>
      </c>
      <c r="N140" s="326">
        <f t="shared" si="37"/>
        <v>13435.029999999999</v>
      </c>
      <c r="O140" s="323">
        <f t="shared" si="37"/>
        <v>3891.0361000000007</v>
      </c>
      <c r="P140" s="200">
        <f t="shared" si="34"/>
        <v>79011.444</v>
      </c>
    </row>
    <row r="141" spans="1:16" s="60" customFormat="1" ht="19.5" customHeight="1">
      <c r="A141" s="57"/>
      <c r="B141" s="61" t="s">
        <v>220</v>
      </c>
      <c r="C141" s="62" t="s">
        <v>79</v>
      </c>
      <c r="D141" s="327"/>
      <c r="E141" s="327"/>
      <c r="F141" s="328"/>
      <c r="G141" s="327"/>
      <c r="H141" s="329"/>
      <c r="I141" s="330"/>
      <c r="J141" s="330"/>
      <c r="K141" s="327"/>
      <c r="L141" s="327"/>
      <c r="M141" s="330"/>
      <c r="N141" s="330"/>
      <c r="O141" s="327"/>
      <c r="P141" s="15"/>
    </row>
    <row r="142" spans="1:16" s="60" customFormat="1" ht="19.5" customHeight="1" thickBot="1">
      <c r="A142" s="63"/>
      <c r="B142" s="64"/>
      <c r="C142" s="65" t="s">
        <v>18</v>
      </c>
      <c r="D142" s="331">
        <f aca="true" t="shared" si="38" ref="D142:I142">D139+D129+D105</f>
        <v>619881.1239999998</v>
      </c>
      <c r="E142" s="331">
        <f t="shared" si="38"/>
        <v>472572.513</v>
      </c>
      <c r="F142" s="332">
        <f>F139+F129+F105</f>
        <v>443997.06200000003</v>
      </c>
      <c r="G142" s="331">
        <f t="shared" si="38"/>
        <v>462588.387</v>
      </c>
      <c r="H142" s="333">
        <f t="shared" si="38"/>
        <v>353530.35099999997</v>
      </c>
      <c r="I142" s="331">
        <f t="shared" si="38"/>
        <v>1414485.8739999998</v>
      </c>
      <c r="J142" s="334">
        <f aca="true" t="shared" si="39" ref="J142:O142">J139+J129+J105</f>
        <v>3392828.0829999996</v>
      </c>
      <c r="K142" s="331">
        <f t="shared" si="39"/>
        <v>2221561.0200000005</v>
      </c>
      <c r="L142" s="334">
        <f t="shared" si="39"/>
        <v>2880979.869</v>
      </c>
      <c r="M142" s="331">
        <f t="shared" si="39"/>
        <v>2366404.8839999996</v>
      </c>
      <c r="N142" s="334">
        <f t="shared" si="39"/>
        <v>1525654.3809999998</v>
      </c>
      <c r="O142" s="331">
        <f t="shared" si="39"/>
        <v>895745.169</v>
      </c>
      <c r="P142" s="7">
        <f t="shared" si="34"/>
        <v>17050228.717</v>
      </c>
    </row>
    <row r="143" spans="15:16" ht="18.75">
      <c r="O143" s="66"/>
      <c r="P143" s="67" t="s">
        <v>92</v>
      </c>
    </row>
    <row r="145" spans="5:9" ht="18.75">
      <c r="E145" s="68"/>
      <c r="F145" s="35"/>
      <c r="G145" s="35"/>
      <c r="H145" s="35"/>
      <c r="I145" s="24"/>
    </row>
    <row r="146" spans="5:9" ht="18.75">
      <c r="E146" s="35"/>
      <c r="F146" s="35"/>
      <c r="G146" s="35"/>
      <c r="H146" s="35"/>
      <c r="I146" s="24"/>
    </row>
    <row r="147" spans="5:9" ht="18.75">
      <c r="E147" s="68"/>
      <c r="F147" s="68"/>
      <c r="G147" s="68"/>
      <c r="H147" s="68"/>
      <c r="I147" s="24"/>
    </row>
    <row r="148" spans="5:9" ht="18.75">
      <c r="E148" s="68"/>
      <c r="F148" s="68"/>
      <c r="G148" s="68"/>
      <c r="H148" s="68"/>
      <c r="I148" s="24"/>
    </row>
    <row r="150" spans="3:4" ht="18.75">
      <c r="C150" s="68"/>
      <c r="D150" s="231"/>
    </row>
    <row r="151" ht="18.75">
      <c r="D151" s="68"/>
    </row>
  </sheetData>
  <sheetProtection/>
  <mergeCells count="52">
    <mergeCell ref="A1:P1"/>
    <mergeCell ref="B5:B6"/>
    <mergeCell ref="B9:B10"/>
    <mergeCell ref="A11:B12"/>
    <mergeCell ref="B13:B14"/>
    <mergeCell ref="B31:B32"/>
    <mergeCell ref="B33:B34"/>
    <mergeCell ref="B15:B16"/>
    <mergeCell ref="B17:B18"/>
    <mergeCell ref="B21:B22"/>
    <mergeCell ref="B23:B24"/>
    <mergeCell ref="B25:B26"/>
    <mergeCell ref="B29:B30"/>
    <mergeCell ref="B37:B38"/>
    <mergeCell ref="A39:B40"/>
    <mergeCell ref="A41:B42"/>
    <mergeCell ref="A43:B44"/>
    <mergeCell ref="A45:B46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B88:B89"/>
    <mergeCell ref="A90:B91"/>
    <mergeCell ref="A92:B93"/>
    <mergeCell ref="A94:B95"/>
    <mergeCell ref="A96:B97"/>
    <mergeCell ref="B130:B131"/>
    <mergeCell ref="A98:B99"/>
    <mergeCell ref="A100:B101"/>
    <mergeCell ref="A102:B103"/>
    <mergeCell ref="A104:B105"/>
    <mergeCell ref="B106:B107"/>
    <mergeCell ref="B108:B109"/>
    <mergeCell ref="B132:B133"/>
    <mergeCell ref="B118:B119"/>
    <mergeCell ref="B120:B121"/>
    <mergeCell ref="B122:B123"/>
    <mergeCell ref="B124:B125"/>
    <mergeCell ref="B110:B111"/>
    <mergeCell ref="B112:B113"/>
    <mergeCell ref="B114:B115"/>
    <mergeCell ref="B116:B117"/>
    <mergeCell ref="B128:B129"/>
  </mergeCells>
  <printOptions/>
  <pageMargins left="0.7" right="0.7" top="0.75" bottom="0.75" header="0.3" footer="0.3"/>
  <pageSetup firstPageNumber="45" useFirstPageNumber="1" fitToHeight="2" fitToWidth="1" horizontalDpi="600" verticalDpi="600" orientation="landscape" paperSize="9" scale="36" r:id="rId1"/>
  <rowBreaks count="1" manualBreakCount="1">
    <brk id="7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view="pageBreakPreview" zoomScale="50" zoomScaleNormal="75" zoomScaleSheetLayoutView="50" zoomScalePageLayoutView="0" workbookViewId="0" topLeftCell="A1">
      <pane xSplit="3" ySplit="4" topLeftCell="D32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8" width="22.625" style="11" customWidth="1"/>
    <col min="9" max="9" width="22.625" style="70" customWidth="1"/>
    <col min="10" max="10" width="22.625" style="11" customWidth="1"/>
    <col min="11" max="11" width="22.625" style="70" customWidth="1"/>
    <col min="12" max="15" width="22.625" style="11" customWidth="1"/>
    <col min="16" max="16" width="25.625" style="37" customWidth="1"/>
    <col min="17" max="16384" width="9.00390625" style="11" customWidth="1"/>
  </cols>
  <sheetData>
    <row r="1" spans="1:16" ht="30.75" customHeight="1">
      <c r="A1" s="375" t="s">
        <v>104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ht="30.75" customHeight="1">
      <c r="B2" s="36"/>
    </row>
    <row r="3" spans="1:15" ht="19.5" customHeight="1" thickBot="1">
      <c r="A3" s="12" t="s">
        <v>82</v>
      </c>
      <c r="B3" s="39"/>
      <c r="C3" s="12"/>
      <c r="O3" s="12" t="s">
        <v>90</v>
      </c>
    </row>
    <row r="4" spans="1:16" ht="19.5" customHeight="1">
      <c r="A4" s="40"/>
      <c r="B4" s="41"/>
      <c r="C4" s="119"/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82" t="s">
        <v>7</v>
      </c>
      <c r="J4" s="42" t="s">
        <v>8</v>
      </c>
      <c r="K4" s="82" t="s">
        <v>9</v>
      </c>
      <c r="L4" s="42" t="s">
        <v>10</v>
      </c>
      <c r="M4" s="42" t="s">
        <v>11</v>
      </c>
      <c r="N4" s="42" t="s">
        <v>12</v>
      </c>
      <c r="O4" s="42" t="s">
        <v>13</v>
      </c>
      <c r="P4" s="43" t="s">
        <v>14</v>
      </c>
    </row>
    <row r="5" spans="1:16" ht="19.5" customHeight="1">
      <c r="A5" s="44" t="s">
        <v>0</v>
      </c>
      <c r="B5" s="382" t="s">
        <v>15</v>
      </c>
      <c r="C5" s="54" t="s">
        <v>16</v>
      </c>
      <c r="D5" s="284">
        <v>315.444</v>
      </c>
      <c r="E5" s="284">
        <v>1.5128</v>
      </c>
      <c r="F5" s="296">
        <v>0.2452</v>
      </c>
      <c r="G5" s="284"/>
      <c r="H5" s="286">
        <v>85.7086</v>
      </c>
      <c r="I5" s="285">
        <v>2254.819</v>
      </c>
      <c r="J5" s="284">
        <v>308.9984</v>
      </c>
      <c r="K5" s="285">
        <v>100.23</v>
      </c>
      <c r="L5" s="284">
        <v>66.3496</v>
      </c>
      <c r="M5" s="285">
        <v>65.6014</v>
      </c>
      <c r="N5" s="285">
        <v>1351.7</v>
      </c>
      <c r="O5" s="284">
        <v>1104.5112</v>
      </c>
      <c r="P5" s="8">
        <f aca="true" t="shared" si="0" ref="P5:P10">SUM(D5:O5)</f>
        <v>5655.1202</v>
      </c>
    </row>
    <row r="6" spans="1:16" ht="19.5" customHeight="1">
      <c r="A6" s="44" t="s">
        <v>17</v>
      </c>
      <c r="B6" s="383"/>
      <c r="C6" s="48" t="s">
        <v>18</v>
      </c>
      <c r="D6" s="288">
        <v>34414.864</v>
      </c>
      <c r="E6" s="288">
        <v>159.779</v>
      </c>
      <c r="F6" s="300">
        <v>70.513</v>
      </c>
      <c r="G6" s="288"/>
      <c r="H6" s="290">
        <v>7832.309</v>
      </c>
      <c r="I6" s="289">
        <v>258127.366</v>
      </c>
      <c r="J6" s="288">
        <v>72185.648</v>
      </c>
      <c r="K6" s="289">
        <v>4489.855</v>
      </c>
      <c r="L6" s="288">
        <v>2569.74</v>
      </c>
      <c r="M6" s="289">
        <v>2135.794</v>
      </c>
      <c r="N6" s="289">
        <v>26554.426</v>
      </c>
      <c r="O6" s="288">
        <v>37870.107</v>
      </c>
      <c r="P6" s="9">
        <f t="shared" si="0"/>
        <v>446410.40099999995</v>
      </c>
    </row>
    <row r="7" spans="1:16" ht="19.5" customHeight="1">
      <c r="A7" s="44" t="s">
        <v>19</v>
      </c>
      <c r="B7" s="47" t="s">
        <v>20</v>
      </c>
      <c r="C7" s="54" t="s">
        <v>16</v>
      </c>
      <c r="D7" s="284">
        <v>114.505</v>
      </c>
      <c r="E7" s="284">
        <v>48.206</v>
      </c>
      <c r="F7" s="296">
        <v>89.555</v>
      </c>
      <c r="G7" s="284">
        <v>89.518</v>
      </c>
      <c r="H7" s="286">
        <v>29.376</v>
      </c>
      <c r="I7" s="285">
        <v>751.298</v>
      </c>
      <c r="J7" s="284">
        <v>511.646</v>
      </c>
      <c r="K7" s="285">
        <v>259.81</v>
      </c>
      <c r="L7" s="284">
        <v>114.898</v>
      </c>
      <c r="M7" s="285">
        <v>150.518</v>
      </c>
      <c r="N7" s="285">
        <v>144.9</v>
      </c>
      <c r="O7" s="284">
        <v>136.309</v>
      </c>
      <c r="P7" s="8">
        <f t="shared" si="0"/>
        <v>2440.539</v>
      </c>
    </row>
    <row r="8" spans="1:16" ht="19.5" customHeight="1">
      <c r="A8" s="44" t="s">
        <v>21</v>
      </c>
      <c r="B8" s="48" t="s">
        <v>22</v>
      </c>
      <c r="C8" s="48" t="s">
        <v>18</v>
      </c>
      <c r="D8" s="288">
        <v>6047.102</v>
      </c>
      <c r="E8" s="288">
        <v>2614.935</v>
      </c>
      <c r="F8" s="300">
        <v>4991.034</v>
      </c>
      <c r="G8" s="288">
        <v>4817.125</v>
      </c>
      <c r="H8" s="290">
        <v>1455.595</v>
      </c>
      <c r="I8" s="289">
        <v>52055.759</v>
      </c>
      <c r="J8" s="288">
        <v>22180.103</v>
      </c>
      <c r="K8" s="289">
        <v>10086.352</v>
      </c>
      <c r="L8" s="288">
        <v>3255.873</v>
      </c>
      <c r="M8" s="289">
        <v>3341.263</v>
      </c>
      <c r="N8" s="289">
        <v>2733.064</v>
      </c>
      <c r="O8" s="288">
        <v>5684.18</v>
      </c>
      <c r="P8" s="9">
        <f t="shared" si="0"/>
        <v>119262.38500000001</v>
      </c>
    </row>
    <row r="9" spans="1:16" s="38" customFormat="1" ht="19.5" customHeight="1">
      <c r="A9" s="44" t="s">
        <v>23</v>
      </c>
      <c r="B9" s="380" t="s">
        <v>114</v>
      </c>
      <c r="C9" s="54" t="s">
        <v>16</v>
      </c>
      <c r="D9" s="26">
        <f aca="true" t="shared" si="1" ref="D9:J9">+D5+D7</f>
        <v>429.949</v>
      </c>
      <c r="E9" s="26">
        <f t="shared" si="1"/>
        <v>49.7188</v>
      </c>
      <c r="F9" s="26">
        <f t="shared" si="1"/>
        <v>89.8002</v>
      </c>
      <c r="G9" s="26">
        <f>+G5+G7</f>
        <v>89.518</v>
      </c>
      <c r="H9" s="26">
        <f t="shared" si="1"/>
        <v>115.08460000000001</v>
      </c>
      <c r="I9" s="28">
        <f t="shared" si="1"/>
        <v>3006.117</v>
      </c>
      <c r="J9" s="26">
        <f t="shared" si="1"/>
        <v>820.6444</v>
      </c>
      <c r="K9" s="28">
        <f>+K5+K7</f>
        <v>360.04</v>
      </c>
      <c r="L9" s="28">
        <f>+L5+L7</f>
        <v>181.24759999999998</v>
      </c>
      <c r="M9" s="28">
        <f aca="true" t="shared" si="2" ref="M9:O10">+M5+M7</f>
        <v>216.11939999999998</v>
      </c>
      <c r="N9" s="28">
        <f t="shared" si="2"/>
        <v>1496.6000000000001</v>
      </c>
      <c r="O9" s="28">
        <f t="shared" si="2"/>
        <v>1240.8201999999999</v>
      </c>
      <c r="P9" s="8">
        <f t="shared" si="0"/>
        <v>8095.6592</v>
      </c>
    </row>
    <row r="10" spans="1:16" s="38" customFormat="1" ht="19.5" customHeight="1">
      <c r="A10" s="49"/>
      <c r="B10" s="381"/>
      <c r="C10" s="48" t="s">
        <v>18</v>
      </c>
      <c r="D10" s="25">
        <f aca="true" t="shared" si="3" ref="D10:J10">+D6+D8</f>
        <v>40461.966</v>
      </c>
      <c r="E10" s="25">
        <f t="shared" si="3"/>
        <v>2774.714</v>
      </c>
      <c r="F10" s="25">
        <f t="shared" si="3"/>
        <v>5061.547</v>
      </c>
      <c r="G10" s="25">
        <f>+G6+G8</f>
        <v>4817.125</v>
      </c>
      <c r="H10" s="25">
        <f t="shared" si="3"/>
        <v>9287.904</v>
      </c>
      <c r="I10" s="86">
        <f t="shared" si="3"/>
        <v>310183.125</v>
      </c>
      <c r="J10" s="25">
        <f t="shared" si="3"/>
        <v>94365.751</v>
      </c>
      <c r="K10" s="86">
        <f>+K6+K8</f>
        <v>14576.207</v>
      </c>
      <c r="L10" s="86">
        <f>+L6+L8</f>
        <v>5825.612999999999</v>
      </c>
      <c r="M10" s="86">
        <f t="shared" si="2"/>
        <v>5477.057</v>
      </c>
      <c r="N10" s="86">
        <f t="shared" si="2"/>
        <v>29287.489999999998</v>
      </c>
      <c r="O10" s="86">
        <f t="shared" si="2"/>
        <v>43554.287000000004</v>
      </c>
      <c r="P10" s="9">
        <f t="shared" si="0"/>
        <v>565672.786</v>
      </c>
    </row>
    <row r="11" spans="1:16" ht="19.5" customHeight="1">
      <c r="A11" s="376" t="s">
        <v>25</v>
      </c>
      <c r="B11" s="377"/>
      <c r="C11" s="54" t="s">
        <v>16</v>
      </c>
      <c r="D11" s="284"/>
      <c r="E11" s="284"/>
      <c r="F11" s="296"/>
      <c r="G11" s="284">
        <v>0.743</v>
      </c>
      <c r="H11" s="286">
        <v>522.091</v>
      </c>
      <c r="I11" s="285">
        <v>2687.603</v>
      </c>
      <c r="J11" s="284">
        <v>4332.591</v>
      </c>
      <c r="K11" s="285">
        <v>4150.74</v>
      </c>
      <c r="L11" s="284">
        <v>472.185</v>
      </c>
      <c r="M11" s="285">
        <v>0.0672</v>
      </c>
      <c r="N11" s="285">
        <v>0.0442</v>
      </c>
      <c r="O11" s="284"/>
      <c r="P11" s="8">
        <f aca="true" t="shared" si="4" ref="P11:P34">SUM(D11:O11)</f>
        <v>12166.0644</v>
      </c>
    </row>
    <row r="12" spans="1:16" ht="19.5" customHeight="1">
      <c r="A12" s="378"/>
      <c r="B12" s="379"/>
      <c r="C12" s="48" t="s">
        <v>18</v>
      </c>
      <c r="D12" s="288"/>
      <c r="E12" s="288"/>
      <c r="F12" s="300"/>
      <c r="G12" s="288">
        <v>718.578</v>
      </c>
      <c r="H12" s="290">
        <v>76649.267</v>
      </c>
      <c r="I12" s="289">
        <v>400100.071</v>
      </c>
      <c r="J12" s="288">
        <v>722757.806</v>
      </c>
      <c r="K12" s="289">
        <v>730486.285</v>
      </c>
      <c r="L12" s="288">
        <v>80251.483</v>
      </c>
      <c r="M12" s="289">
        <v>119.946</v>
      </c>
      <c r="N12" s="289">
        <v>80.136</v>
      </c>
      <c r="O12" s="288"/>
      <c r="P12" s="9">
        <f t="shared" si="4"/>
        <v>2011163.5720000002</v>
      </c>
    </row>
    <row r="13" spans="1:16" ht="19.5" customHeight="1">
      <c r="A13" s="50"/>
      <c r="B13" s="382" t="s">
        <v>26</v>
      </c>
      <c r="C13" s="54" t="s">
        <v>16</v>
      </c>
      <c r="D13" s="284"/>
      <c r="E13" s="284"/>
      <c r="F13" s="296"/>
      <c r="G13" s="284">
        <v>1.754</v>
      </c>
      <c r="H13" s="286">
        <v>36.158</v>
      </c>
      <c r="I13" s="285">
        <v>11.963</v>
      </c>
      <c r="J13" s="284">
        <v>0.492</v>
      </c>
      <c r="K13" s="285">
        <v>0.414</v>
      </c>
      <c r="L13" s="284">
        <v>0.032</v>
      </c>
      <c r="M13" s="285">
        <v>0.199</v>
      </c>
      <c r="N13" s="285">
        <v>0.041</v>
      </c>
      <c r="O13" s="284">
        <v>0.053</v>
      </c>
      <c r="P13" s="8">
        <f t="shared" si="4"/>
        <v>51.10599999999999</v>
      </c>
    </row>
    <row r="14" spans="1:16" ht="19.5" customHeight="1">
      <c r="A14" s="44" t="s">
        <v>0</v>
      </c>
      <c r="B14" s="383"/>
      <c r="C14" s="48" t="s">
        <v>18</v>
      </c>
      <c r="D14" s="288"/>
      <c r="E14" s="288"/>
      <c r="F14" s="300"/>
      <c r="G14" s="288">
        <v>4688.093</v>
      </c>
      <c r="H14" s="290">
        <v>76615.182</v>
      </c>
      <c r="I14" s="289">
        <v>19016.475</v>
      </c>
      <c r="J14" s="288">
        <v>1400.036</v>
      </c>
      <c r="K14" s="289">
        <v>1388.059</v>
      </c>
      <c r="L14" s="288">
        <v>22.775</v>
      </c>
      <c r="M14" s="289">
        <v>539.384</v>
      </c>
      <c r="N14" s="289">
        <v>143.91</v>
      </c>
      <c r="O14" s="288">
        <v>157.41</v>
      </c>
      <c r="P14" s="9">
        <f t="shared" si="4"/>
        <v>103971.324</v>
      </c>
    </row>
    <row r="15" spans="1:16" ht="19.5" customHeight="1">
      <c r="A15" s="44" t="s">
        <v>27</v>
      </c>
      <c r="B15" s="382" t="s">
        <v>28</v>
      </c>
      <c r="C15" s="54" t="s">
        <v>16</v>
      </c>
      <c r="D15" s="284"/>
      <c r="E15" s="284"/>
      <c r="F15" s="296"/>
      <c r="G15" s="284">
        <v>0.027</v>
      </c>
      <c r="H15" s="286">
        <v>9.1344</v>
      </c>
      <c r="I15" s="285">
        <v>27.9694</v>
      </c>
      <c r="J15" s="284">
        <v>0.1686</v>
      </c>
      <c r="K15" s="285">
        <v>0.456</v>
      </c>
      <c r="L15" s="284">
        <v>0.1474</v>
      </c>
      <c r="M15" s="285">
        <v>0.7903</v>
      </c>
      <c r="N15" s="285">
        <v>1.096</v>
      </c>
      <c r="O15" s="284">
        <v>0.176</v>
      </c>
      <c r="P15" s="8">
        <f t="shared" si="4"/>
        <v>39.96510000000001</v>
      </c>
    </row>
    <row r="16" spans="1:16" ht="19.5" customHeight="1">
      <c r="A16" s="44" t="s">
        <v>0</v>
      </c>
      <c r="B16" s="383"/>
      <c r="C16" s="48" t="s">
        <v>18</v>
      </c>
      <c r="D16" s="288"/>
      <c r="E16" s="288"/>
      <c r="F16" s="300"/>
      <c r="G16" s="288">
        <v>55.987</v>
      </c>
      <c r="H16" s="290">
        <v>13466.329</v>
      </c>
      <c r="I16" s="289">
        <v>29739.075</v>
      </c>
      <c r="J16" s="288">
        <v>231.046</v>
      </c>
      <c r="K16" s="289">
        <v>880.556</v>
      </c>
      <c r="L16" s="288">
        <v>267.196</v>
      </c>
      <c r="M16" s="289">
        <v>1241.602</v>
      </c>
      <c r="N16" s="289">
        <v>1548.819</v>
      </c>
      <c r="O16" s="288">
        <v>583.503</v>
      </c>
      <c r="P16" s="9">
        <f t="shared" si="4"/>
        <v>48014.113000000005</v>
      </c>
    </row>
    <row r="17" spans="1:16" ht="19.5" customHeight="1">
      <c r="A17" s="44" t="s">
        <v>29</v>
      </c>
      <c r="B17" s="382" t="s">
        <v>30</v>
      </c>
      <c r="C17" s="54" t="s">
        <v>16</v>
      </c>
      <c r="D17" s="284"/>
      <c r="E17" s="284"/>
      <c r="F17" s="296"/>
      <c r="G17" s="284"/>
      <c r="H17" s="286">
        <v>16.038</v>
      </c>
      <c r="I17" s="285">
        <v>35.611</v>
      </c>
      <c r="J17" s="284">
        <v>275.33</v>
      </c>
      <c r="K17" s="285">
        <v>221.134</v>
      </c>
      <c r="L17" s="284">
        <v>37.609</v>
      </c>
      <c r="M17" s="285"/>
      <c r="N17" s="285"/>
      <c r="O17" s="284"/>
      <c r="P17" s="8">
        <f t="shared" si="4"/>
        <v>585.722</v>
      </c>
    </row>
    <row r="18" spans="1:16" ht="19.5" customHeight="1">
      <c r="A18" s="50"/>
      <c r="B18" s="383"/>
      <c r="C18" s="48" t="s">
        <v>18</v>
      </c>
      <c r="D18" s="288"/>
      <c r="E18" s="288"/>
      <c r="F18" s="300"/>
      <c r="G18" s="288"/>
      <c r="H18" s="290">
        <v>3301.492</v>
      </c>
      <c r="I18" s="289">
        <v>7963.475</v>
      </c>
      <c r="J18" s="288">
        <v>59378.621</v>
      </c>
      <c r="K18" s="289">
        <v>48868.72</v>
      </c>
      <c r="L18" s="288">
        <v>9288.868</v>
      </c>
      <c r="M18" s="289"/>
      <c r="N18" s="289"/>
      <c r="O18" s="288"/>
      <c r="P18" s="9">
        <f t="shared" si="4"/>
        <v>128801.176</v>
      </c>
    </row>
    <row r="19" spans="1:16" ht="19.5" customHeight="1">
      <c r="A19" s="44" t="s">
        <v>31</v>
      </c>
      <c r="B19" s="148" t="s">
        <v>108</v>
      </c>
      <c r="C19" s="54" t="s">
        <v>16</v>
      </c>
      <c r="D19" s="284"/>
      <c r="E19" s="284"/>
      <c r="F19" s="296"/>
      <c r="G19" s="284">
        <v>3.743</v>
      </c>
      <c r="H19" s="286">
        <v>2.671</v>
      </c>
      <c r="I19" s="285">
        <v>2.405</v>
      </c>
      <c r="J19" s="284">
        <v>224.975</v>
      </c>
      <c r="K19" s="285">
        <v>71.514</v>
      </c>
      <c r="L19" s="284">
        <v>5.07</v>
      </c>
      <c r="M19" s="285"/>
      <c r="N19" s="285"/>
      <c r="O19" s="284"/>
      <c r="P19" s="8">
        <f t="shared" si="4"/>
        <v>310.378</v>
      </c>
    </row>
    <row r="20" spans="1:16" ht="19.5" customHeight="1">
      <c r="A20" s="50"/>
      <c r="B20" s="46" t="s">
        <v>109</v>
      </c>
      <c r="C20" s="48" t="s">
        <v>18</v>
      </c>
      <c r="D20" s="288"/>
      <c r="E20" s="288"/>
      <c r="F20" s="300"/>
      <c r="G20" s="288">
        <v>2597.41</v>
      </c>
      <c r="H20" s="290">
        <v>874.454</v>
      </c>
      <c r="I20" s="289">
        <v>678.904</v>
      </c>
      <c r="J20" s="288">
        <v>54713.759</v>
      </c>
      <c r="K20" s="289">
        <v>20507.731</v>
      </c>
      <c r="L20" s="288">
        <v>1327.439</v>
      </c>
      <c r="M20" s="289"/>
      <c r="N20" s="289"/>
      <c r="O20" s="288"/>
      <c r="P20" s="9">
        <f t="shared" si="4"/>
        <v>80699.697</v>
      </c>
    </row>
    <row r="21" spans="1:16" ht="19.5" customHeight="1">
      <c r="A21" s="44" t="s">
        <v>23</v>
      </c>
      <c r="B21" s="382" t="s">
        <v>32</v>
      </c>
      <c r="C21" s="54" t="s">
        <v>16</v>
      </c>
      <c r="D21" s="284"/>
      <c r="E21" s="284"/>
      <c r="F21" s="296"/>
      <c r="G21" s="284"/>
      <c r="H21" s="286">
        <v>209.56</v>
      </c>
      <c r="I21" s="285">
        <v>25.022</v>
      </c>
      <c r="J21" s="284">
        <v>627.442</v>
      </c>
      <c r="K21" s="285">
        <v>3.883</v>
      </c>
      <c r="L21" s="284"/>
      <c r="M21" s="285"/>
      <c r="N21" s="285"/>
      <c r="O21" s="284"/>
      <c r="P21" s="8">
        <f t="shared" si="4"/>
        <v>865.907</v>
      </c>
    </row>
    <row r="22" spans="1:16" ht="19.5" customHeight="1">
      <c r="A22" s="50"/>
      <c r="B22" s="383"/>
      <c r="C22" s="48" t="s">
        <v>18</v>
      </c>
      <c r="D22" s="288"/>
      <c r="E22" s="288"/>
      <c r="F22" s="300"/>
      <c r="G22" s="288"/>
      <c r="H22" s="290">
        <v>59821.403</v>
      </c>
      <c r="I22" s="289">
        <v>6370.317</v>
      </c>
      <c r="J22" s="288">
        <v>167249.933</v>
      </c>
      <c r="K22" s="289">
        <v>1043.55</v>
      </c>
      <c r="L22" s="288"/>
      <c r="M22" s="289"/>
      <c r="N22" s="289"/>
      <c r="O22" s="288"/>
      <c r="P22" s="9">
        <f t="shared" si="4"/>
        <v>234485.20299999998</v>
      </c>
    </row>
    <row r="23" spans="1:16" s="38" customFormat="1" ht="19.5" customHeight="1">
      <c r="A23" s="50"/>
      <c r="B23" s="380" t="s">
        <v>114</v>
      </c>
      <c r="C23" s="54" t="s">
        <v>16</v>
      </c>
      <c r="D23" s="26"/>
      <c r="E23" s="26"/>
      <c r="F23" s="26"/>
      <c r="G23" s="26">
        <f aca="true" t="shared" si="5" ref="G23:L24">+G13+G15+G17+G19+G21</f>
        <v>5.524</v>
      </c>
      <c r="H23" s="26">
        <f t="shared" si="5"/>
        <v>273.5614</v>
      </c>
      <c r="I23" s="28">
        <f t="shared" si="5"/>
        <v>102.97039999999998</v>
      </c>
      <c r="J23" s="26">
        <f t="shared" si="5"/>
        <v>1128.4076</v>
      </c>
      <c r="K23" s="28">
        <f t="shared" si="5"/>
        <v>297.40099999999995</v>
      </c>
      <c r="L23" s="28">
        <f t="shared" si="5"/>
        <v>42.8584</v>
      </c>
      <c r="M23" s="28">
        <f aca="true" t="shared" si="6" ref="M23:O24">+M13+M15+M17+M19+M21</f>
        <v>0.9893000000000001</v>
      </c>
      <c r="N23" s="28">
        <f t="shared" si="6"/>
        <v>1.137</v>
      </c>
      <c r="O23" s="28">
        <f t="shared" si="6"/>
        <v>0.22899999999999998</v>
      </c>
      <c r="P23" s="8">
        <f>SUM(D23:O23)</f>
        <v>1853.0781</v>
      </c>
    </row>
    <row r="24" spans="1:16" s="38" customFormat="1" ht="19.5" customHeight="1">
      <c r="A24" s="49"/>
      <c r="B24" s="381"/>
      <c r="C24" s="48" t="s">
        <v>18</v>
      </c>
      <c r="D24" s="25"/>
      <c r="E24" s="25"/>
      <c r="F24" s="25"/>
      <c r="G24" s="25">
        <f t="shared" si="5"/>
        <v>7341.49</v>
      </c>
      <c r="H24" s="25">
        <f t="shared" si="5"/>
        <v>154078.86</v>
      </c>
      <c r="I24" s="86">
        <f t="shared" si="5"/>
        <v>63768.24600000001</v>
      </c>
      <c r="J24" s="25">
        <f t="shared" si="5"/>
        <v>282973.395</v>
      </c>
      <c r="K24" s="86">
        <f t="shared" si="5"/>
        <v>72688.616</v>
      </c>
      <c r="L24" s="86">
        <f t="shared" si="5"/>
        <v>10906.278</v>
      </c>
      <c r="M24" s="86">
        <f t="shared" si="6"/>
        <v>1780.986</v>
      </c>
      <c r="N24" s="86">
        <f t="shared" si="6"/>
        <v>1692.729</v>
      </c>
      <c r="O24" s="86">
        <f t="shared" si="6"/>
        <v>740.913</v>
      </c>
      <c r="P24" s="9">
        <f>SUM(D24:O24)</f>
        <v>595971.5130000002</v>
      </c>
    </row>
    <row r="25" spans="1:16" ht="19.5" customHeight="1">
      <c r="A25" s="44" t="s">
        <v>0</v>
      </c>
      <c r="B25" s="382" t="s">
        <v>33</v>
      </c>
      <c r="C25" s="54" t="s">
        <v>16</v>
      </c>
      <c r="D25" s="284"/>
      <c r="E25" s="284"/>
      <c r="F25" s="296"/>
      <c r="G25" s="284"/>
      <c r="H25" s="286"/>
      <c r="I25" s="285"/>
      <c r="J25" s="284"/>
      <c r="K25" s="285"/>
      <c r="L25" s="284">
        <v>0.091</v>
      </c>
      <c r="M25" s="285"/>
      <c r="N25" s="285"/>
      <c r="O25" s="284"/>
      <c r="P25" s="8">
        <f t="shared" si="4"/>
        <v>0.091</v>
      </c>
    </row>
    <row r="26" spans="1:16" ht="19.5" customHeight="1">
      <c r="A26" s="44" t="s">
        <v>34</v>
      </c>
      <c r="B26" s="383"/>
      <c r="C26" s="48" t="s">
        <v>18</v>
      </c>
      <c r="D26" s="288"/>
      <c r="E26" s="288"/>
      <c r="F26" s="300"/>
      <c r="G26" s="288"/>
      <c r="H26" s="290"/>
      <c r="I26" s="289"/>
      <c r="J26" s="288"/>
      <c r="K26" s="289"/>
      <c r="L26" s="288">
        <v>98.28</v>
      </c>
      <c r="M26" s="289"/>
      <c r="N26" s="289"/>
      <c r="O26" s="288"/>
      <c r="P26" s="9">
        <f t="shared" si="4"/>
        <v>98.28</v>
      </c>
    </row>
    <row r="27" spans="1:16" ht="19.5" customHeight="1">
      <c r="A27" s="44" t="s">
        <v>35</v>
      </c>
      <c r="B27" s="47" t="s">
        <v>20</v>
      </c>
      <c r="C27" s="54" t="s">
        <v>16</v>
      </c>
      <c r="D27" s="284"/>
      <c r="E27" s="284"/>
      <c r="F27" s="296"/>
      <c r="G27" s="284"/>
      <c r="H27" s="286">
        <v>0.042</v>
      </c>
      <c r="I27" s="285">
        <v>0.021</v>
      </c>
      <c r="J27" s="284">
        <v>0.816</v>
      </c>
      <c r="K27" s="285">
        <v>1.568</v>
      </c>
      <c r="L27" s="284">
        <v>0.987</v>
      </c>
      <c r="M27" s="285"/>
      <c r="N27" s="285"/>
      <c r="O27" s="284"/>
      <c r="P27" s="8">
        <f t="shared" si="4"/>
        <v>3.434</v>
      </c>
    </row>
    <row r="28" spans="1:16" ht="19.5" customHeight="1">
      <c r="A28" s="44" t="s">
        <v>36</v>
      </c>
      <c r="B28" s="48" t="s">
        <v>110</v>
      </c>
      <c r="C28" s="139" t="s">
        <v>18</v>
      </c>
      <c r="D28" s="302"/>
      <c r="E28" s="288"/>
      <c r="F28" s="300"/>
      <c r="G28" s="288"/>
      <c r="H28" s="312">
        <v>1.361</v>
      </c>
      <c r="I28" s="289">
        <v>0.68</v>
      </c>
      <c r="J28" s="288">
        <v>40.458</v>
      </c>
      <c r="K28" s="301">
        <v>289.937</v>
      </c>
      <c r="L28" s="288">
        <v>34.182</v>
      </c>
      <c r="M28" s="301"/>
      <c r="N28" s="301"/>
      <c r="O28" s="288"/>
      <c r="P28" s="9">
        <f t="shared" si="4"/>
        <v>366.61800000000005</v>
      </c>
    </row>
    <row r="29" spans="1:16" s="38" customFormat="1" ht="19.5" customHeight="1">
      <c r="A29" s="44" t="s">
        <v>23</v>
      </c>
      <c r="B29" s="380" t="s">
        <v>114</v>
      </c>
      <c r="C29" s="54" t="s">
        <v>16</v>
      </c>
      <c r="D29" s="26"/>
      <c r="E29" s="26"/>
      <c r="F29" s="26"/>
      <c r="G29" s="26"/>
      <c r="H29" s="26">
        <f aca="true" t="shared" si="7" ref="H29:J30">+H25+H27</f>
        <v>0.042</v>
      </c>
      <c r="I29" s="28">
        <f>+I25+I27</f>
        <v>0.021</v>
      </c>
      <c r="J29" s="26">
        <f t="shared" si="7"/>
        <v>0.816</v>
      </c>
      <c r="K29" s="28">
        <f>+K25+K27</f>
        <v>1.568</v>
      </c>
      <c r="L29" s="28">
        <f>+L25+L27</f>
        <v>1.078</v>
      </c>
      <c r="M29" s="28"/>
      <c r="N29" s="28"/>
      <c r="O29" s="28"/>
      <c r="P29" s="8">
        <f>SUM(D29:O29)</f>
        <v>3.5250000000000004</v>
      </c>
    </row>
    <row r="30" spans="1:16" s="38" customFormat="1" ht="19.5" customHeight="1">
      <c r="A30" s="49"/>
      <c r="B30" s="381"/>
      <c r="C30" s="48" t="s">
        <v>18</v>
      </c>
      <c r="D30" s="25"/>
      <c r="E30" s="25"/>
      <c r="F30" s="25"/>
      <c r="G30" s="25"/>
      <c r="H30" s="25">
        <f t="shared" si="7"/>
        <v>1.361</v>
      </c>
      <c r="I30" s="86">
        <f>+I26+I28</f>
        <v>0.68</v>
      </c>
      <c r="J30" s="25">
        <f t="shared" si="7"/>
        <v>40.458</v>
      </c>
      <c r="K30" s="86">
        <f>+K26+K28</f>
        <v>289.937</v>
      </c>
      <c r="L30" s="86">
        <f>+L26+L28</f>
        <v>132.462</v>
      </c>
      <c r="M30" s="86"/>
      <c r="N30" s="86"/>
      <c r="O30" s="86"/>
      <c r="P30" s="9">
        <f>SUM(D30:O30)</f>
        <v>464.898</v>
      </c>
    </row>
    <row r="31" spans="1:16" ht="19.5" customHeight="1">
      <c r="A31" s="44" t="s">
        <v>0</v>
      </c>
      <c r="B31" s="382" t="s">
        <v>37</v>
      </c>
      <c r="C31" s="54" t="s">
        <v>16</v>
      </c>
      <c r="D31" s="284">
        <v>682.9895</v>
      </c>
      <c r="E31" s="284">
        <v>295.4618</v>
      </c>
      <c r="F31" s="296">
        <v>170.8464</v>
      </c>
      <c r="G31" s="284">
        <v>699.6468</v>
      </c>
      <c r="H31" s="286">
        <v>795.1002</v>
      </c>
      <c r="I31" s="285">
        <v>1257.223</v>
      </c>
      <c r="J31" s="284">
        <v>412.2784</v>
      </c>
      <c r="K31" s="285">
        <v>511.309</v>
      </c>
      <c r="L31" s="284">
        <v>808.431</v>
      </c>
      <c r="M31" s="285">
        <v>405.3924</v>
      </c>
      <c r="N31" s="285">
        <v>396.7472</v>
      </c>
      <c r="O31" s="284">
        <v>710.5312</v>
      </c>
      <c r="P31" s="8">
        <f t="shared" si="4"/>
        <v>7145.956899999999</v>
      </c>
    </row>
    <row r="32" spans="1:16" ht="19.5" customHeight="1">
      <c r="A32" s="44" t="s">
        <v>38</v>
      </c>
      <c r="B32" s="383"/>
      <c r="C32" s="48" t="s">
        <v>18</v>
      </c>
      <c r="D32" s="288">
        <v>110334.531</v>
      </c>
      <c r="E32" s="288">
        <v>57239.059</v>
      </c>
      <c r="F32" s="300">
        <v>36159.945</v>
      </c>
      <c r="G32" s="288">
        <v>156961.233</v>
      </c>
      <c r="H32" s="290">
        <v>131489.634</v>
      </c>
      <c r="I32" s="289">
        <v>161674.442</v>
      </c>
      <c r="J32" s="288">
        <v>94383.453</v>
      </c>
      <c r="K32" s="289">
        <v>109779.574</v>
      </c>
      <c r="L32" s="288">
        <v>148244.839</v>
      </c>
      <c r="M32" s="289">
        <v>144194.532</v>
      </c>
      <c r="N32" s="289">
        <v>141066.511</v>
      </c>
      <c r="O32" s="288">
        <v>297985.756</v>
      </c>
      <c r="P32" s="9">
        <f t="shared" si="4"/>
        <v>1589513.509</v>
      </c>
    </row>
    <row r="33" spans="1:16" ht="19.5" customHeight="1">
      <c r="A33" s="44" t="s">
        <v>0</v>
      </c>
      <c r="B33" s="382" t="s">
        <v>39</v>
      </c>
      <c r="C33" s="54" t="s">
        <v>16</v>
      </c>
      <c r="D33" s="284">
        <v>125.7964</v>
      </c>
      <c r="E33" s="284">
        <v>233.2454</v>
      </c>
      <c r="F33" s="296">
        <v>468.297</v>
      </c>
      <c r="G33" s="284">
        <v>1044.91</v>
      </c>
      <c r="H33" s="286">
        <v>1174.646</v>
      </c>
      <c r="I33" s="285">
        <v>231.548</v>
      </c>
      <c r="J33" s="284">
        <v>20.549</v>
      </c>
      <c r="K33" s="285">
        <v>18.9808</v>
      </c>
      <c r="L33" s="284">
        <v>10.7652</v>
      </c>
      <c r="M33" s="285">
        <v>12.6996</v>
      </c>
      <c r="N33" s="285">
        <v>14.0312</v>
      </c>
      <c r="O33" s="284">
        <v>75.5968</v>
      </c>
      <c r="P33" s="8">
        <f t="shared" si="4"/>
        <v>3431.065399999999</v>
      </c>
    </row>
    <row r="34" spans="1:16" ht="19.5" customHeight="1">
      <c r="A34" s="44" t="s">
        <v>40</v>
      </c>
      <c r="B34" s="383"/>
      <c r="C34" s="48" t="s">
        <v>18</v>
      </c>
      <c r="D34" s="288">
        <v>8854.261</v>
      </c>
      <c r="E34" s="288">
        <v>17333.042</v>
      </c>
      <c r="F34" s="300">
        <v>34775.339</v>
      </c>
      <c r="G34" s="288">
        <v>77272.233</v>
      </c>
      <c r="H34" s="290">
        <v>82669.006</v>
      </c>
      <c r="I34" s="289">
        <v>16712.839</v>
      </c>
      <c r="J34" s="288">
        <v>4022.776</v>
      </c>
      <c r="K34" s="289">
        <v>2061.745</v>
      </c>
      <c r="L34" s="288">
        <v>1846.163</v>
      </c>
      <c r="M34" s="289">
        <v>2827.588</v>
      </c>
      <c r="N34" s="289">
        <v>3868.076</v>
      </c>
      <c r="O34" s="288">
        <v>7033.228</v>
      </c>
      <c r="P34" s="9">
        <f t="shared" si="4"/>
        <v>259276.296</v>
      </c>
    </row>
    <row r="35" spans="1:16" ht="19.5" customHeight="1">
      <c r="A35" s="50"/>
      <c r="B35" s="47" t="s">
        <v>20</v>
      </c>
      <c r="C35" s="54" t="s">
        <v>16</v>
      </c>
      <c r="D35" s="284">
        <v>754.624</v>
      </c>
      <c r="E35" s="304">
        <v>855.0702</v>
      </c>
      <c r="F35" s="296">
        <v>1278.233</v>
      </c>
      <c r="G35" s="284">
        <v>985.403</v>
      </c>
      <c r="H35" s="286">
        <v>694.738</v>
      </c>
      <c r="I35" s="285">
        <v>701.314</v>
      </c>
      <c r="J35" s="284">
        <v>3.599</v>
      </c>
      <c r="K35" s="285">
        <v>0.989</v>
      </c>
      <c r="L35" s="284">
        <v>323.73</v>
      </c>
      <c r="M35" s="285">
        <v>330.205</v>
      </c>
      <c r="N35" s="285">
        <v>96.921</v>
      </c>
      <c r="O35" s="284">
        <v>210.806</v>
      </c>
      <c r="P35" s="8">
        <f>SUM(D35:O35)</f>
        <v>6235.632200000001</v>
      </c>
    </row>
    <row r="36" spans="1:16" ht="19.5" customHeight="1">
      <c r="A36" s="44" t="s">
        <v>23</v>
      </c>
      <c r="B36" s="48" t="s">
        <v>111</v>
      </c>
      <c r="C36" s="48" t="s">
        <v>18</v>
      </c>
      <c r="D36" s="288">
        <v>99222.177</v>
      </c>
      <c r="E36" s="288">
        <v>113372.492</v>
      </c>
      <c r="F36" s="300">
        <v>196595.264</v>
      </c>
      <c r="G36" s="288">
        <v>77671.015</v>
      </c>
      <c r="H36" s="290">
        <v>40844.699</v>
      </c>
      <c r="I36" s="289">
        <v>39228.951</v>
      </c>
      <c r="J36" s="288">
        <v>296.412</v>
      </c>
      <c r="K36" s="289">
        <v>41.927</v>
      </c>
      <c r="L36" s="288">
        <v>17446.911</v>
      </c>
      <c r="M36" s="289">
        <v>21409.751</v>
      </c>
      <c r="N36" s="289">
        <v>7950.938</v>
      </c>
      <c r="O36" s="288">
        <v>17877.293</v>
      </c>
      <c r="P36" s="9">
        <f>SUM(D36:O36)</f>
        <v>631957.83</v>
      </c>
    </row>
    <row r="37" spans="1:16" s="38" customFormat="1" ht="19.5" customHeight="1">
      <c r="A37" s="50"/>
      <c r="B37" s="380" t="s">
        <v>107</v>
      </c>
      <c r="C37" s="54" t="s">
        <v>16</v>
      </c>
      <c r="D37" s="26">
        <f aca="true" t="shared" si="8" ref="D37:J38">+D31+D33+D35</f>
        <v>1563.4099</v>
      </c>
      <c r="E37" s="26">
        <f t="shared" si="8"/>
        <v>1383.7774</v>
      </c>
      <c r="F37" s="26">
        <f t="shared" si="8"/>
        <v>1917.3764</v>
      </c>
      <c r="G37" s="26">
        <f>+G31+G33+G35</f>
        <v>2729.9598</v>
      </c>
      <c r="H37" s="26">
        <f t="shared" si="8"/>
        <v>2664.4842</v>
      </c>
      <c r="I37" s="28">
        <f t="shared" si="8"/>
        <v>2190.085</v>
      </c>
      <c r="J37" s="26">
        <f t="shared" si="8"/>
        <v>436.42639999999994</v>
      </c>
      <c r="K37" s="28">
        <f aca="true" t="shared" si="9" ref="K37:O38">+K31+K33+K35</f>
        <v>531.2788</v>
      </c>
      <c r="L37" s="28">
        <f t="shared" si="9"/>
        <v>1142.9262</v>
      </c>
      <c r="M37" s="28">
        <f t="shared" si="9"/>
        <v>748.297</v>
      </c>
      <c r="N37" s="28">
        <f t="shared" si="9"/>
        <v>507.6994</v>
      </c>
      <c r="O37" s="28">
        <f t="shared" si="9"/>
        <v>996.9340000000001</v>
      </c>
      <c r="P37" s="8">
        <f>SUM(D37:O37)</f>
        <v>16812.6545</v>
      </c>
    </row>
    <row r="38" spans="1:16" s="38" customFormat="1" ht="19.5" customHeight="1">
      <c r="A38" s="49"/>
      <c r="B38" s="381"/>
      <c r="C38" s="48" t="s">
        <v>18</v>
      </c>
      <c r="D38" s="25">
        <f t="shared" si="8"/>
        <v>218410.96899999998</v>
      </c>
      <c r="E38" s="25">
        <f t="shared" si="8"/>
        <v>187944.593</v>
      </c>
      <c r="F38" s="25">
        <f t="shared" si="8"/>
        <v>267530.548</v>
      </c>
      <c r="G38" s="25">
        <f>+G32+G34+G36</f>
        <v>311904.481</v>
      </c>
      <c r="H38" s="25">
        <f t="shared" si="8"/>
        <v>255003.33899999998</v>
      </c>
      <c r="I38" s="86">
        <f t="shared" si="8"/>
        <v>217616.23200000002</v>
      </c>
      <c r="J38" s="25">
        <f t="shared" si="8"/>
        <v>98702.64099999999</v>
      </c>
      <c r="K38" s="86">
        <f t="shared" si="9"/>
        <v>111883.24599999998</v>
      </c>
      <c r="L38" s="86">
        <f t="shared" si="9"/>
        <v>167537.913</v>
      </c>
      <c r="M38" s="86">
        <f t="shared" si="9"/>
        <v>168431.87099999998</v>
      </c>
      <c r="N38" s="86">
        <f t="shared" si="9"/>
        <v>152885.525</v>
      </c>
      <c r="O38" s="86">
        <f t="shared" si="9"/>
        <v>322896.277</v>
      </c>
      <c r="P38" s="9">
        <f>SUM(D38:O38)</f>
        <v>2480747.635</v>
      </c>
    </row>
    <row r="39" spans="1:16" ht="19.5" customHeight="1">
      <c r="A39" s="376" t="s">
        <v>41</v>
      </c>
      <c r="B39" s="377"/>
      <c r="C39" s="54" t="s">
        <v>16</v>
      </c>
      <c r="D39" s="284">
        <v>16.5446</v>
      </c>
      <c r="E39" s="284">
        <v>6.704</v>
      </c>
      <c r="F39" s="296"/>
      <c r="G39" s="284"/>
      <c r="H39" s="286">
        <v>1.2094</v>
      </c>
      <c r="I39" s="285">
        <v>128.5062</v>
      </c>
      <c r="J39" s="284">
        <v>70.8202</v>
      </c>
      <c r="K39" s="285">
        <v>249.6128</v>
      </c>
      <c r="L39" s="284">
        <v>125.4912</v>
      </c>
      <c r="M39" s="285">
        <v>28.29</v>
      </c>
      <c r="N39" s="285">
        <v>19.8418</v>
      </c>
      <c r="O39" s="284">
        <v>3.8074</v>
      </c>
      <c r="P39" s="8">
        <f aca="true" t="shared" si="10" ref="P39:P52">SUM(D39:O39)</f>
        <v>650.8276000000001</v>
      </c>
    </row>
    <row r="40" spans="1:16" ht="19.5" customHeight="1">
      <c r="A40" s="378"/>
      <c r="B40" s="379"/>
      <c r="C40" s="48" t="s">
        <v>18</v>
      </c>
      <c r="D40" s="288">
        <v>844.424</v>
      </c>
      <c r="E40" s="288">
        <v>334.903</v>
      </c>
      <c r="F40" s="300"/>
      <c r="G40" s="288"/>
      <c r="H40" s="290">
        <v>626.756</v>
      </c>
      <c r="I40" s="289">
        <v>37878.181</v>
      </c>
      <c r="J40" s="288">
        <v>37083.762</v>
      </c>
      <c r="K40" s="289">
        <v>112376.337</v>
      </c>
      <c r="L40" s="288">
        <v>50641.227</v>
      </c>
      <c r="M40" s="289">
        <v>13080.664</v>
      </c>
      <c r="N40" s="289">
        <v>6563.569</v>
      </c>
      <c r="O40" s="288">
        <v>1964.156</v>
      </c>
      <c r="P40" s="9">
        <f t="shared" si="10"/>
        <v>261393.979</v>
      </c>
    </row>
    <row r="41" spans="1:16" ht="19.5" customHeight="1">
      <c r="A41" s="376" t="s">
        <v>42</v>
      </c>
      <c r="B41" s="377"/>
      <c r="C41" s="54" t="s">
        <v>16</v>
      </c>
      <c r="D41" s="284">
        <v>0.0906</v>
      </c>
      <c r="E41" s="284"/>
      <c r="F41" s="296"/>
      <c r="G41" s="284">
        <v>0.2958</v>
      </c>
      <c r="H41" s="286">
        <v>55.4652</v>
      </c>
      <c r="I41" s="285">
        <v>316.4934</v>
      </c>
      <c r="J41" s="284">
        <v>280.7716</v>
      </c>
      <c r="K41" s="285">
        <v>88.0274</v>
      </c>
      <c r="L41" s="284">
        <v>46.0524</v>
      </c>
      <c r="M41" s="285">
        <v>165.1696</v>
      </c>
      <c r="N41" s="285">
        <v>326.1362</v>
      </c>
      <c r="O41" s="284">
        <v>27.5644</v>
      </c>
      <c r="P41" s="8">
        <f t="shared" si="10"/>
        <v>1306.0665999999999</v>
      </c>
    </row>
    <row r="42" spans="1:16" ht="19.5" customHeight="1">
      <c r="A42" s="378"/>
      <c r="B42" s="379"/>
      <c r="C42" s="48" t="s">
        <v>18</v>
      </c>
      <c r="D42" s="288">
        <v>29.713</v>
      </c>
      <c r="E42" s="288"/>
      <c r="F42" s="300"/>
      <c r="G42" s="288">
        <v>260.927</v>
      </c>
      <c r="H42" s="290">
        <v>12812.812</v>
      </c>
      <c r="I42" s="289">
        <v>60294.422</v>
      </c>
      <c r="J42" s="288">
        <v>67300.588</v>
      </c>
      <c r="K42" s="289">
        <v>27294.409</v>
      </c>
      <c r="L42" s="288">
        <v>9450.036</v>
      </c>
      <c r="M42" s="289">
        <v>30315.628</v>
      </c>
      <c r="N42" s="289">
        <v>66557.417</v>
      </c>
      <c r="O42" s="288">
        <v>11777.583</v>
      </c>
      <c r="P42" s="9">
        <f t="shared" si="10"/>
        <v>286093.535</v>
      </c>
    </row>
    <row r="43" spans="1:16" ht="19.5" customHeight="1">
      <c r="A43" s="376" t="s">
        <v>43</v>
      </c>
      <c r="B43" s="377"/>
      <c r="C43" s="54" t="s">
        <v>16</v>
      </c>
      <c r="D43" s="284"/>
      <c r="E43" s="284"/>
      <c r="F43" s="296"/>
      <c r="G43" s="284"/>
      <c r="H43" s="286">
        <v>0.0044</v>
      </c>
      <c r="I43" s="285"/>
      <c r="J43" s="284"/>
      <c r="K43" s="285"/>
      <c r="L43" s="284"/>
      <c r="M43" s="285"/>
      <c r="N43" s="285"/>
      <c r="O43" s="284"/>
      <c r="P43" s="8">
        <f t="shared" si="10"/>
        <v>0.0044</v>
      </c>
    </row>
    <row r="44" spans="1:16" ht="19.5" customHeight="1">
      <c r="A44" s="378"/>
      <c r="B44" s="379"/>
      <c r="C44" s="48" t="s">
        <v>18</v>
      </c>
      <c r="D44" s="288"/>
      <c r="E44" s="288"/>
      <c r="F44" s="300"/>
      <c r="G44" s="288"/>
      <c r="H44" s="290">
        <v>9.504</v>
      </c>
      <c r="I44" s="289"/>
      <c r="J44" s="288"/>
      <c r="K44" s="289"/>
      <c r="L44" s="288"/>
      <c r="M44" s="289"/>
      <c r="N44" s="289"/>
      <c r="O44" s="288"/>
      <c r="P44" s="9">
        <f t="shared" si="10"/>
        <v>9.504</v>
      </c>
    </row>
    <row r="45" spans="1:16" ht="19.5" customHeight="1">
      <c r="A45" s="376" t="s">
        <v>44</v>
      </c>
      <c r="B45" s="377"/>
      <c r="C45" s="54" t="s">
        <v>16</v>
      </c>
      <c r="D45" s="284">
        <v>0.0872</v>
      </c>
      <c r="E45" s="284">
        <v>0.0741</v>
      </c>
      <c r="F45" s="296">
        <v>0.0096</v>
      </c>
      <c r="G45" s="284">
        <v>0.0281</v>
      </c>
      <c r="H45" s="286">
        <v>0.011</v>
      </c>
      <c r="I45" s="285">
        <v>0.0042</v>
      </c>
      <c r="J45" s="284"/>
      <c r="K45" s="285"/>
      <c r="L45" s="284">
        <v>0.0014</v>
      </c>
      <c r="M45" s="285">
        <v>0.0034</v>
      </c>
      <c r="N45" s="285">
        <v>0.0024</v>
      </c>
      <c r="O45" s="284">
        <v>0.0018</v>
      </c>
      <c r="P45" s="8">
        <f t="shared" si="10"/>
        <v>0.22320000000000004</v>
      </c>
    </row>
    <row r="46" spans="1:16" ht="19.5" customHeight="1">
      <c r="A46" s="378"/>
      <c r="B46" s="379"/>
      <c r="C46" s="48" t="s">
        <v>18</v>
      </c>
      <c r="D46" s="288">
        <v>39.178</v>
      </c>
      <c r="E46" s="302">
        <v>48.427</v>
      </c>
      <c r="F46" s="300">
        <v>9.114</v>
      </c>
      <c r="G46" s="288">
        <v>28.903</v>
      </c>
      <c r="H46" s="290">
        <v>10.366</v>
      </c>
      <c r="I46" s="289">
        <v>3.607</v>
      </c>
      <c r="J46" s="288"/>
      <c r="K46" s="289"/>
      <c r="L46" s="288">
        <v>1.512</v>
      </c>
      <c r="M46" s="289">
        <v>3.78</v>
      </c>
      <c r="N46" s="289">
        <v>3.132</v>
      </c>
      <c r="O46" s="288">
        <v>1.555</v>
      </c>
      <c r="P46" s="9">
        <f t="shared" si="10"/>
        <v>149.574</v>
      </c>
    </row>
    <row r="47" spans="1:16" ht="19.5" customHeight="1">
      <c r="A47" s="376" t="s">
        <v>45</v>
      </c>
      <c r="B47" s="377"/>
      <c r="C47" s="54" t="s">
        <v>16</v>
      </c>
      <c r="D47" s="284">
        <v>0.0536</v>
      </c>
      <c r="E47" s="284">
        <v>0.0376</v>
      </c>
      <c r="F47" s="296">
        <v>0.0078</v>
      </c>
      <c r="G47" s="284">
        <v>0.0142</v>
      </c>
      <c r="H47" s="286">
        <v>0.1114</v>
      </c>
      <c r="I47" s="285">
        <v>0.0792</v>
      </c>
      <c r="J47" s="284">
        <v>0.0326</v>
      </c>
      <c r="K47" s="285">
        <v>0.005</v>
      </c>
      <c r="L47" s="284">
        <v>0.0348</v>
      </c>
      <c r="M47" s="285">
        <v>0.0246</v>
      </c>
      <c r="N47" s="285">
        <v>0.0024</v>
      </c>
      <c r="O47" s="284">
        <v>0.0158</v>
      </c>
      <c r="P47" s="8">
        <f t="shared" si="10"/>
        <v>0.41900000000000004</v>
      </c>
    </row>
    <row r="48" spans="1:16" ht="19.5" customHeight="1">
      <c r="A48" s="378"/>
      <c r="B48" s="379"/>
      <c r="C48" s="48" t="s">
        <v>18</v>
      </c>
      <c r="D48" s="288">
        <v>58.664</v>
      </c>
      <c r="E48" s="288">
        <v>47.387</v>
      </c>
      <c r="F48" s="300">
        <v>10.899</v>
      </c>
      <c r="G48" s="288">
        <v>18.447</v>
      </c>
      <c r="H48" s="290">
        <v>90.354</v>
      </c>
      <c r="I48" s="289">
        <v>34.271</v>
      </c>
      <c r="J48" s="288">
        <v>5.574</v>
      </c>
      <c r="K48" s="289">
        <v>2.225</v>
      </c>
      <c r="L48" s="288">
        <v>29.704</v>
      </c>
      <c r="M48" s="289">
        <v>22.595</v>
      </c>
      <c r="N48" s="289">
        <v>1.577</v>
      </c>
      <c r="O48" s="288">
        <v>7.574</v>
      </c>
      <c r="P48" s="9">
        <f t="shared" si="10"/>
        <v>329.271</v>
      </c>
    </row>
    <row r="49" spans="1:16" ht="19.5" customHeight="1">
      <c r="A49" s="376" t="s">
        <v>46</v>
      </c>
      <c r="B49" s="377"/>
      <c r="C49" s="54" t="s">
        <v>16</v>
      </c>
      <c r="D49" s="284">
        <v>5977.4968</v>
      </c>
      <c r="E49" s="284">
        <v>3593.1862</v>
      </c>
      <c r="F49" s="296">
        <v>940.257</v>
      </c>
      <c r="G49" s="284">
        <v>184.043</v>
      </c>
      <c r="H49" s="286">
        <v>1776.4446</v>
      </c>
      <c r="I49" s="285">
        <v>1155.7136</v>
      </c>
      <c r="J49" s="284">
        <v>849.3194</v>
      </c>
      <c r="K49" s="285">
        <v>635.0998</v>
      </c>
      <c r="L49" s="284">
        <v>1796.3672</v>
      </c>
      <c r="M49" s="285">
        <v>5414.3638</v>
      </c>
      <c r="N49" s="285">
        <v>6972.614</v>
      </c>
      <c r="O49" s="284">
        <v>6437.4584</v>
      </c>
      <c r="P49" s="8">
        <f t="shared" si="10"/>
        <v>35732.36380000001</v>
      </c>
    </row>
    <row r="50" spans="1:16" ht="19.5" customHeight="1">
      <c r="A50" s="378"/>
      <c r="B50" s="379"/>
      <c r="C50" s="48" t="s">
        <v>18</v>
      </c>
      <c r="D50" s="288">
        <v>684308.113</v>
      </c>
      <c r="E50" s="288">
        <v>308535.361</v>
      </c>
      <c r="F50" s="300">
        <v>79772.144</v>
      </c>
      <c r="G50" s="288">
        <v>14780.727</v>
      </c>
      <c r="H50" s="290">
        <v>151621.035</v>
      </c>
      <c r="I50" s="289">
        <v>91711.543</v>
      </c>
      <c r="J50" s="288">
        <v>73904.504</v>
      </c>
      <c r="K50" s="289">
        <v>101523.919</v>
      </c>
      <c r="L50" s="288">
        <v>171732.062</v>
      </c>
      <c r="M50" s="289">
        <v>385516.396</v>
      </c>
      <c r="N50" s="289">
        <v>585063.224</v>
      </c>
      <c r="O50" s="288">
        <v>572777.138</v>
      </c>
      <c r="P50" s="9">
        <f t="shared" si="10"/>
        <v>3221246.166</v>
      </c>
    </row>
    <row r="51" spans="1:16" ht="19.5" customHeight="1">
      <c r="A51" s="376" t="s">
        <v>47</v>
      </c>
      <c r="B51" s="377"/>
      <c r="C51" s="54" t="s">
        <v>16</v>
      </c>
      <c r="D51" s="284"/>
      <c r="E51" s="284"/>
      <c r="F51" s="296"/>
      <c r="G51" s="284"/>
      <c r="H51" s="286"/>
      <c r="I51" s="285">
        <v>0.364</v>
      </c>
      <c r="J51" s="284"/>
      <c r="K51" s="285"/>
      <c r="L51" s="284">
        <v>19.796</v>
      </c>
      <c r="M51" s="285">
        <v>8.704</v>
      </c>
      <c r="N51" s="285">
        <v>1.832</v>
      </c>
      <c r="O51" s="284"/>
      <c r="P51" s="8">
        <f t="shared" si="10"/>
        <v>30.696</v>
      </c>
    </row>
    <row r="52" spans="1:16" ht="19.5" customHeight="1">
      <c r="A52" s="378"/>
      <c r="B52" s="379"/>
      <c r="C52" s="48" t="s">
        <v>18</v>
      </c>
      <c r="D52" s="288"/>
      <c r="E52" s="288"/>
      <c r="F52" s="300"/>
      <c r="G52" s="288"/>
      <c r="H52" s="290"/>
      <c r="I52" s="289">
        <v>62.508</v>
      </c>
      <c r="J52" s="288"/>
      <c r="K52" s="289"/>
      <c r="L52" s="288">
        <v>9615.632</v>
      </c>
      <c r="M52" s="289">
        <v>3415.74</v>
      </c>
      <c r="N52" s="289">
        <v>684.68</v>
      </c>
      <c r="O52" s="288"/>
      <c r="P52" s="9">
        <f t="shared" si="10"/>
        <v>13778.56</v>
      </c>
    </row>
    <row r="53" spans="1:16" ht="19.5" customHeight="1">
      <c r="A53" s="376" t="s">
        <v>48</v>
      </c>
      <c r="B53" s="377"/>
      <c r="C53" s="54" t="s">
        <v>16</v>
      </c>
      <c r="D53" s="284">
        <v>0.031</v>
      </c>
      <c r="E53" s="284">
        <v>0.1496</v>
      </c>
      <c r="F53" s="296">
        <v>4.4455</v>
      </c>
      <c r="G53" s="284">
        <v>13.2464</v>
      </c>
      <c r="H53" s="286">
        <v>10.7856</v>
      </c>
      <c r="I53" s="285">
        <v>0.938</v>
      </c>
      <c r="J53" s="284">
        <v>0.508</v>
      </c>
      <c r="K53" s="285">
        <v>0.1182</v>
      </c>
      <c r="L53" s="284">
        <v>229.3208</v>
      </c>
      <c r="M53" s="285">
        <v>1278.1199</v>
      </c>
      <c r="N53" s="285">
        <v>556.6394</v>
      </c>
      <c r="O53" s="284">
        <v>39.048</v>
      </c>
      <c r="P53" s="8">
        <f>SUM(D53:O53)</f>
        <v>2133.3504000000003</v>
      </c>
    </row>
    <row r="54" spans="1:16" ht="19.5" customHeight="1">
      <c r="A54" s="378"/>
      <c r="B54" s="379"/>
      <c r="C54" s="48" t="s">
        <v>18</v>
      </c>
      <c r="D54" s="288">
        <v>17.441</v>
      </c>
      <c r="E54" s="288">
        <v>117.688</v>
      </c>
      <c r="F54" s="300">
        <v>3982.009</v>
      </c>
      <c r="G54" s="288">
        <v>14352.646</v>
      </c>
      <c r="H54" s="290">
        <v>7679.812</v>
      </c>
      <c r="I54" s="289">
        <v>807.909</v>
      </c>
      <c r="J54" s="288">
        <v>547.828</v>
      </c>
      <c r="K54" s="289">
        <v>84.624</v>
      </c>
      <c r="L54" s="288">
        <v>84581.76</v>
      </c>
      <c r="M54" s="289">
        <v>589443.945</v>
      </c>
      <c r="N54" s="289">
        <v>268908.447</v>
      </c>
      <c r="O54" s="288">
        <v>18347.796</v>
      </c>
      <c r="P54" s="9">
        <f>SUM(D54:O54)</f>
        <v>988871.9049999999</v>
      </c>
    </row>
    <row r="55" spans="1:16" ht="19.5" customHeight="1">
      <c r="A55" s="44" t="s">
        <v>0</v>
      </c>
      <c r="B55" s="382" t="s">
        <v>132</v>
      </c>
      <c r="C55" s="54" t="s">
        <v>16</v>
      </c>
      <c r="D55" s="284">
        <v>0.0296</v>
      </c>
      <c r="E55" s="284">
        <v>0.0022</v>
      </c>
      <c r="F55" s="296">
        <v>0.0012</v>
      </c>
      <c r="G55" s="284">
        <v>0.2408</v>
      </c>
      <c r="H55" s="286">
        <v>6.6018</v>
      </c>
      <c r="I55" s="285">
        <v>23.5475</v>
      </c>
      <c r="J55" s="284">
        <v>27.825</v>
      </c>
      <c r="K55" s="285">
        <v>74.167</v>
      </c>
      <c r="L55" s="284">
        <v>52.8604</v>
      </c>
      <c r="M55" s="285">
        <v>19.847</v>
      </c>
      <c r="N55" s="285">
        <v>8.328</v>
      </c>
      <c r="O55" s="284">
        <v>1.0964</v>
      </c>
      <c r="P55" s="8">
        <f aca="true" t="shared" si="11" ref="P55:P66">SUM(D55:O55)</f>
        <v>214.5469</v>
      </c>
    </row>
    <row r="56" spans="1:16" ht="19.5" customHeight="1">
      <c r="A56" s="44" t="s">
        <v>38</v>
      </c>
      <c r="B56" s="383"/>
      <c r="C56" s="48" t="s">
        <v>18</v>
      </c>
      <c r="D56" s="288">
        <v>19.374</v>
      </c>
      <c r="E56" s="288">
        <v>0.483</v>
      </c>
      <c r="F56" s="300">
        <v>0.41</v>
      </c>
      <c r="G56" s="288">
        <v>240.023</v>
      </c>
      <c r="H56" s="290">
        <v>7083.912</v>
      </c>
      <c r="I56" s="289">
        <v>16496.132</v>
      </c>
      <c r="J56" s="288">
        <v>14253.332</v>
      </c>
      <c r="K56" s="289">
        <v>40819.993</v>
      </c>
      <c r="L56" s="288">
        <v>18785.056</v>
      </c>
      <c r="M56" s="289">
        <v>10366.463</v>
      </c>
      <c r="N56" s="289">
        <v>4652.835</v>
      </c>
      <c r="O56" s="288">
        <v>866.079</v>
      </c>
      <c r="P56" s="9">
        <f t="shared" si="11"/>
        <v>113584.09200000002</v>
      </c>
    </row>
    <row r="57" spans="1:16" ht="19.5" customHeight="1">
      <c r="A57" s="44" t="s">
        <v>17</v>
      </c>
      <c r="B57" s="47" t="s">
        <v>20</v>
      </c>
      <c r="C57" s="54" t="s">
        <v>16</v>
      </c>
      <c r="D57" s="284"/>
      <c r="E57" s="284"/>
      <c r="F57" s="296"/>
      <c r="G57" s="284">
        <v>0.0072</v>
      </c>
      <c r="H57" s="286">
        <v>0.0988</v>
      </c>
      <c r="I57" s="285">
        <v>0.1008</v>
      </c>
      <c r="J57" s="284">
        <v>0.144</v>
      </c>
      <c r="K57" s="285">
        <v>0.5318</v>
      </c>
      <c r="L57" s="284">
        <v>1.9964</v>
      </c>
      <c r="M57" s="285">
        <v>0.1426</v>
      </c>
      <c r="N57" s="285">
        <v>0.0008</v>
      </c>
      <c r="O57" s="284"/>
      <c r="P57" s="8">
        <f t="shared" si="11"/>
        <v>3.0223999999999998</v>
      </c>
    </row>
    <row r="58" spans="1:16" ht="19.5" customHeight="1">
      <c r="A58" s="44" t="s">
        <v>23</v>
      </c>
      <c r="B58" s="48" t="s">
        <v>113</v>
      </c>
      <c r="C58" s="48" t="s">
        <v>18</v>
      </c>
      <c r="D58" s="288"/>
      <c r="E58" s="302"/>
      <c r="F58" s="300"/>
      <c r="G58" s="288">
        <v>21.232</v>
      </c>
      <c r="H58" s="290">
        <v>199.954</v>
      </c>
      <c r="I58" s="289">
        <v>184.564</v>
      </c>
      <c r="J58" s="288">
        <v>201.569</v>
      </c>
      <c r="K58" s="289">
        <v>658.395</v>
      </c>
      <c r="L58" s="288">
        <v>1240.725</v>
      </c>
      <c r="M58" s="289">
        <v>26.737</v>
      </c>
      <c r="N58" s="289">
        <v>2.851</v>
      </c>
      <c r="O58" s="288"/>
      <c r="P58" s="9">
        <f t="shared" si="11"/>
        <v>2536.027</v>
      </c>
    </row>
    <row r="59" spans="1:16" s="38" customFormat="1" ht="19.5" customHeight="1">
      <c r="A59" s="50"/>
      <c r="B59" s="380" t="s">
        <v>107</v>
      </c>
      <c r="C59" s="54" t="s">
        <v>16</v>
      </c>
      <c r="D59" s="26">
        <f aca="true" t="shared" si="12" ref="D59:J59">+D55+D57</f>
        <v>0.0296</v>
      </c>
      <c r="E59" s="26">
        <f t="shared" si="12"/>
        <v>0.0022</v>
      </c>
      <c r="F59" s="26">
        <f t="shared" si="12"/>
        <v>0.0012</v>
      </c>
      <c r="G59" s="26">
        <f t="shared" si="12"/>
        <v>0.248</v>
      </c>
      <c r="H59" s="26">
        <f t="shared" si="12"/>
        <v>6.7006</v>
      </c>
      <c r="I59" s="28">
        <f t="shared" si="12"/>
        <v>23.6483</v>
      </c>
      <c r="J59" s="26">
        <f t="shared" si="12"/>
        <v>27.968999999999998</v>
      </c>
      <c r="K59" s="28">
        <f>+K55+K57</f>
        <v>74.6988</v>
      </c>
      <c r="L59" s="28">
        <f>+L55+L57</f>
        <v>54.8568</v>
      </c>
      <c r="M59" s="28">
        <f aca="true" t="shared" si="13" ref="M59:O60">+M55+M57</f>
        <v>19.989600000000003</v>
      </c>
      <c r="N59" s="28">
        <f t="shared" si="13"/>
        <v>8.3288</v>
      </c>
      <c r="O59" s="28">
        <f t="shared" si="13"/>
        <v>1.0964</v>
      </c>
      <c r="P59" s="8">
        <f>SUM(D59:O59)</f>
        <v>217.5693</v>
      </c>
    </row>
    <row r="60" spans="1:16" s="38" customFormat="1" ht="19.5" customHeight="1">
      <c r="A60" s="49"/>
      <c r="B60" s="381"/>
      <c r="C60" s="48" t="s">
        <v>18</v>
      </c>
      <c r="D60" s="25">
        <f aca="true" t="shared" si="14" ref="D60:J60">+D56+D58</f>
        <v>19.374</v>
      </c>
      <c r="E60" s="25">
        <f t="shared" si="14"/>
        <v>0.483</v>
      </c>
      <c r="F60" s="25">
        <f t="shared" si="14"/>
        <v>0.41</v>
      </c>
      <c r="G60" s="25">
        <f t="shared" si="14"/>
        <v>261.255</v>
      </c>
      <c r="H60" s="25">
        <f t="shared" si="14"/>
        <v>7283.866</v>
      </c>
      <c r="I60" s="86">
        <f t="shared" si="14"/>
        <v>16680.696</v>
      </c>
      <c r="J60" s="25">
        <f t="shared" si="14"/>
        <v>14454.901</v>
      </c>
      <c r="K60" s="86">
        <f>+K56+K58</f>
        <v>41478.388</v>
      </c>
      <c r="L60" s="86">
        <f>+L56+L58</f>
        <v>20025.781</v>
      </c>
      <c r="M60" s="86">
        <f t="shared" si="13"/>
        <v>10393.199999999999</v>
      </c>
      <c r="N60" s="86">
        <f t="shared" si="13"/>
        <v>4655.686</v>
      </c>
      <c r="O60" s="86">
        <f t="shared" si="13"/>
        <v>866.079</v>
      </c>
      <c r="P60" s="9">
        <f>SUM(D60:O60)</f>
        <v>116120.11899999999</v>
      </c>
    </row>
    <row r="61" spans="1:16" ht="19.5" customHeight="1">
      <c r="A61" s="44" t="s">
        <v>0</v>
      </c>
      <c r="B61" s="382" t="s">
        <v>115</v>
      </c>
      <c r="C61" s="54" t="s">
        <v>16</v>
      </c>
      <c r="D61" s="284">
        <v>33.6114</v>
      </c>
      <c r="E61" s="284">
        <v>7.563</v>
      </c>
      <c r="F61" s="296">
        <v>7.766</v>
      </c>
      <c r="G61" s="284">
        <v>16.3944</v>
      </c>
      <c r="H61" s="286">
        <v>1.8474</v>
      </c>
      <c r="I61" s="285">
        <v>1.092</v>
      </c>
      <c r="J61" s="284">
        <v>0.065</v>
      </c>
      <c r="K61" s="285">
        <v>0.1294</v>
      </c>
      <c r="L61" s="284">
        <v>9.875</v>
      </c>
      <c r="M61" s="285">
        <v>2.8054</v>
      </c>
      <c r="N61" s="285">
        <v>28.0874</v>
      </c>
      <c r="O61" s="284">
        <v>10.926</v>
      </c>
      <c r="P61" s="8">
        <f t="shared" si="11"/>
        <v>120.1624</v>
      </c>
    </row>
    <row r="62" spans="1:16" ht="19.5" customHeight="1">
      <c r="A62" s="44" t="s">
        <v>49</v>
      </c>
      <c r="B62" s="383"/>
      <c r="C62" s="48" t="s">
        <v>18</v>
      </c>
      <c r="D62" s="288">
        <v>1366.055</v>
      </c>
      <c r="E62" s="288">
        <v>258.373</v>
      </c>
      <c r="F62" s="300">
        <v>223.348</v>
      </c>
      <c r="G62" s="288">
        <v>566.575</v>
      </c>
      <c r="H62" s="290">
        <v>52.571</v>
      </c>
      <c r="I62" s="289">
        <v>28.324</v>
      </c>
      <c r="J62" s="288">
        <v>1.955</v>
      </c>
      <c r="K62" s="289">
        <v>3.445</v>
      </c>
      <c r="L62" s="288">
        <v>337.224</v>
      </c>
      <c r="M62" s="289">
        <v>152.158</v>
      </c>
      <c r="N62" s="289">
        <v>1251.762</v>
      </c>
      <c r="O62" s="288">
        <v>1667.734</v>
      </c>
      <c r="P62" s="9">
        <f t="shared" si="11"/>
        <v>5909.523999999999</v>
      </c>
    </row>
    <row r="63" spans="1:16" ht="19.5" customHeight="1">
      <c r="A63" s="44" t="s">
        <v>0</v>
      </c>
      <c r="B63" s="47" t="s">
        <v>50</v>
      </c>
      <c r="C63" s="54" t="s">
        <v>16</v>
      </c>
      <c r="D63" s="284"/>
      <c r="E63" s="284"/>
      <c r="F63" s="296"/>
      <c r="G63" s="284"/>
      <c r="H63" s="286"/>
      <c r="I63" s="285"/>
      <c r="J63" s="284"/>
      <c r="K63" s="285"/>
      <c r="L63" s="284"/>
      <c r="M63" s="285"/>
      <c r="N63" s="285"/>
      <c r="O63" s="284"/>
      <c r="P63" s="8"/>
    </row>
    <row r="64" spans="1:16" ht="19.5" customHeight="1">
      <c r="A64" s="44" t="s">
        <v>51</v>
      </c>
      <c r="B64" s="48" t="s">
        <v>116</v>
      </c>
      <c r="C64" s="48" t="s">
        <v>18</v>
      </c>
      <c r="D64" s="288"/>
      <c r="E64" s="288"/>
      <c r="F64" s="300"/>
      <c r="G64" s="288"/>
      <c r="H64" s="290"/>
      <c r="I64" s="289"/>
      <c r="J64" s="288"/>
      <c r="K64" s="289"/>
      <c r="L64" s="288"/>
      <c r="M64" s="289"/>
      <c r="N64" s="289"/>
      <c r="O64" s="288"/>
      <c r="P64" s="9"/>
    </row>
    <row r="65" spans="1:16" ht="19.5" customHeight="1">
      <c r="A65" s="44" t="s">
        <v>0</v>
      </c>
      <c r="B65" s="382" t="s">
        <v>53</v>
      </c>
      <c r="C65" s="54" t="s">
        <v>16</v>
      </c>
      <c r="D65" s="284">
        <v>0.081</v>
      </c>
      <c r="E65" s="284">
        <v>0.01</v>
      </c>
      <c r="F65" s="296">
        <v>0.112</v>
      </c>
      <c r="G65" s="284">
        <v>0.105</v>
      </c>
      <c r="H65" s="286"/>
      <c r="I65" s="285"/>
      <c r="J65" s="284">
        <v>0.02</v>
      </c>
      <c r="K65" s="285"/>
      <c r="L65" s="284"/>
      <c r="M65" s="285"/>
      <c r="N65" s="285"/>
      <c r="O65" s="284">
        <v>0.08</v>
      </c>
      <c r="P65" s="8">
        <f t="shared" si="11"/>
        <v>0.40800000000000003</v>
      </c>
    </row>
    <row r="66" spans="1:16" ht="19.5" customHeight="1">
      <c r="A66" s="44" t="s">
        <v>23</v>
      </c>
      <c r="B66" s="383"/>
      <c r="C66" s="48" t="s">
        <v>18</v>
      </c>
      <c r="D66" s="288">
        <v>11.34</v>
      </c>
      <c r="E66" s="288">
        <v>2.625</v>
      </c>
      <c r="F66" s="300">
        <v>23.625</v>
      </c>
      <c r="G66" s="288">
        <v>11.88</v>
      </c>
      <c r="H66" s="290"/>
      <c r="I66" s="289"/>
      <c r="J66" s="288">
        <v>1.62</v>
      </c>
      <c r="K66" s="289"/>
      <c r="L66" s="288"/>
      <c r="M66" s="289"/>
      <c r="N66" s="289"/>
      <c r="O66" s="288">
        <v>8.64</v>
      </c>
      <c r="P66" s="9">
        <f t="shared" si="11"/>
        <v>59.730000000000004</v>
      </c>
    </row>
    <row r="67" spans="1:16" ht="19.5" customHeight="1">
      <c r="A67" s="50"/>
      <c r="B67" s="47" t="s">
        <v>20</v>
      </c>
      <c r="C67" s="54" t="s">
        <v>16</v>
      </c>
      <c r="D67" s="284"/>
      <c r="E67" s="284"/>
      <c r="F67" s="296"/>
      <c r="G67" s="284"/>
      <c r="H67" s="286"/>
      <c r="I67" s="285"/>
      <c r="J67" s="284"/>
      <c r="K67" s="285"/>
      <c r="L67" s="284"/>
      <c r="M67" s="285"/>
      <c r="N67" s="285"/>
      <c r="O67" s="284"/>
      <c r="P67" s="8"/>
    </row>
    <row r="68" spans="1:16" ht="19.5" customHeight="1" thickBot="1">
      <c r="A68" s="51" t="s">
        <v>0</v>
      </c>
      <c r="B68" s="52" t="s">
        <v>116</v>
      </c>
      <c r="C68" s="52" t="s">
        <v>18</v>
      </c>
      <c r="D68" s="295"/>
      <c r="E68" s="291"/>
      <c r="F68" s="306"/>
      <c r="G68" s="291"/>
      <c r="H68" s="293"/>
      <c r="I68" s="294"/>
      <c r="J68" s="295"/>
      <c r="K68" s="294"/>
      <c r="L68" s="295"/>
      <c r="M68" s="294"/>
      <c r="N68" s="292"/>
      <c r="O68" s="291"/>
      <c r="P68" s="10"/>
    </row>
    <row r="69" spans="4:16" ht="19.5" customHeight="1">
      <c r="D69" s="268"/>
      <c r="E69" s="268"/>
      <c r="F69" s="270"/>
      <c r="G69" s="268"/>
      <c r="H69" s="268"/>
      <c r="I69" s="269"/>
      <c r="J69" s="268"/>
      <c r="K69" s="269"/>
      <c r="L69" s="268"/>
      <c r="M69" s="269"/>
      <c r="N69" s="269"/>
      <c r="O69" s="268"/>
      <c r="P69" s="11"/>
    </row>
    <row r="70" spans="4:16" ht="19.5" customHeight="1">
      <c r="D70" s="268"/>
      <c r="E70" s="268"/>
      <c r="F70" s="270"/>
      <c r="G70" s="268"/>
      <c r="H70" s="268"/>
      <c r="I70" s="269"/>
      <c r="J70" s="268"/>
      <c r="K70" s="269"/>
      <c r="L70" s="268"/>
      <c r="M70" s="269"/>
      <c r="N70" s="269"/>
      <c r="O70" s="268"/>
      <c r="P70" s="11"/>
    </row>
    <row r="71" spans="4:16" ht="19.5" customHeight="1">
      <c r="D71" s="268"/>
      <c r="E71" s="268"/>
      <c r="F71" s="270"/>
      <c r="G71" s="268"/>
      <c r="H71" s="268"/>
      <c r="I71" s="269"/>
      <c r="J71" s="268"/>
      <c r="K71" s="269"/>
      <c r="L71" s="268"/>
      <c r="M71" s="269"/>
      <c r="N71" s="269"/>
      <c r="O71" s="268"/>
      <c r="P71" s="11"/>
    </row>
    <row r="72" spans="4:16" ht="19.5" customHeight="1">
      <c r="D72" s="268"/>
      <c r="E72" s="268"/>
      <c r="F72" s="270"/>
      <c r="G72" s="268"/>
      <c r="H72" s="268"/>
      <c r="I72" s="269"/>
      <c r="J72" s="268"/>
      <c r="K72" s="269"/>
      <c r="L72" s="268"/>
      <c r="M72" s="269"/>
      <c r="N72" s="269"/>
      <c r="O72" s="268"/>
      <c r="P72" s="11"/>
    </row>
    <row r="73" spans="4:16" ht="19.5" customHeight="1">
      <c r="D73" s="268"/>
      <c r="E73" s="268"/>
      <c r="F73" s="270"/>
      <c r="G73" s="268"/>
      <c r="H73" s="268"/>
      <c r="I73" s="269"/>
      <c r="J73" s="268"/>
      <c r="K73" s="269"/>
      <c r="L73" s="268"/>
      <c r="M73" s="269"/>
      <c r="N73" s="269"/>
      <c r="O73" s="268"/>
      <c r="P73" s="11"/>
    </row>
    <row r="74" spans="1:16" ht="19.5" customHeight="1" thickBot="1">
      <c r="A74" s="12" t="s">
        <v>82</v>
      </c>
      <c r="B74" s="39"/>
      <c r="C74" s="12"/>
      <c r="D74" s="268"/>
      <c r="E74" s="271"/>
      <c r="F74" s="270"/>
      <c r="G74" s="271"/>
      <c r="H74" s="268"/>
      <c r="I74" s="273"/>
      <c r="J74" s="268"/>
      <c r="K74" s="273"/>
      <c r="L74" s="268"/>
      <c r="M74" s="273"/>
      <c r="N74" s="269"/>
      <c r="O74" s="271"/>
      <c r="P74" s="12"/>
    </row>
    <row r="75" spans="1:16" ht="19.5" customHeight="1">
      <c r="A75" s="49"/>
      <c r="B75" s="53"/>
      <c r="C75" s="73"/>
      <c r="D75" s="316" t="s">
        <v>2</v>
      </c>
      <c r="E75" s="315" t="s">
        <v>3</v>
      </c>
      <c r="F75" s="359" t="s">
        <v>4</v>
      </c>
      <c r="G75" s="315" t="s">
        <v>5</v>
      </c>
      <c r="H75" s="316" t="s">
        <v>6</v>
      </c>
      <c r="I75" s="317" t="s">
        <v>7</v>
      </c>
      <c r="J75" s="316" t="s">
        <v>8</v>
      </c>
      <c r="K75" s="317" t="s">
        <v>9</v>
      </c>
      <c r="L75" s="316" t="s">
        <v>10</v>
      </c>
      <c r="M75" s="317" t="s">
        <v>11</v>
      </c>
      <c r="N75" s="318" t="s">
        <v>12</v>
      </c>
      <c r="O75" s="313" t="s">
        <v>13</v>
      </c>
      <c r="P75" s="43" t="s">
        <v>14</v>
      </c>
    </row>
    <row r="76" spans="1:16" s="38" customFormat="1" ht="19.5" customHeight="1">
      <c r="A76" s="44" t="s">
        <v>49</v>
      </c>
      <c r="B76" s="380" t="s">
        <v>114</v>
      </c>
      <c r="C76" s="54" t="s">
        <v>16</v>
      </c>
      <c r="D76" s="26">
        <f aca="true" t="shared" si="15" ref="D76:J76">+D61+D63+D65+D67</f>
        <v>33.692400000000006</v>
      </c>
      <c r="E76" s="26">
        <f t="shared" si="15"/>
        <v>7.5729999999999995</v>
      </c>
      <c r="F76" s="26">
        <f t="shared" si="15"/>
        <v>7.878</v>
      </c>
      <c r="G76" s="26">
        <f t="shared" si="15"/>
        <v>16.4994</v>
      </c>
      <c r="H76" s="26">
        <f t="shared" si="15"/>
        <v>1.8474</v>
      </c>
      <c r="I76" s="28">
        <f t="shared" si="15"/>
        <v>1.092</v>
      </c>
      <c r="J76" s="26">
        <f t="shared" si="15"/>
        <v>0.085</v>
      </c>
      <c r="K76" s="28">
        <f aca="true" t="shared" si="16" ref="K76:P77">+K61+K63+K65+K67</f>
        <v>0.1294</v>
      </c>
      <c r="L76" s="28">
        <f t="shared" si="16"/>
        <v>9.875</v>
      </c>
      <c r="M76" s="28">
        <f t="shared" si="16"/>
        <v>2.8054</v>
      </c>
      <c r="N76" s="28">
        <f t="shared" si="16"/>
        <v>28.0874</v>
      </c>
      <c r="O76" s="28">
        <f t="shared" si="16"/>
        <v>11.006</v>
      </c>
      <c r="P76" s="8">
        <f t="shared" si="16"/>
        <v>120.5704</v>
      </c>
    </row>
    <row r="77" spans="1:16" s="38" customFormat="1" ht="19.5" customHeight="1">
      <c r="A77" s="69" t="s">
        <v>51</v>
      </c>
      <c r="B77" s="381"/>
      <c r="C77" s="48" t="s">
        <v>18</v>
      </c>
      <c r="D77" s="25">
        <f aca="true" t="shared" si="17" ref="D77:J77">+D62+D64+D66+D68</f>
        <v>1377.395</v>
      </c>
      <c r="E77" s="25">
        <f t="shared" si="17"/>
        <v>260.998</v>
      </c>
      <c r="F77" s="25">
        <f t="shared" si="17"/>
        <v>246.973</v>
      </c>
      <c r="G77" s="25">
        <f t="shared" si="17"/>
        <v>578.455</v>
      </c>
      <c r="H77" s="25">
        <f t="shared" si="17"/>
        <v>52.571</v>
      </c>
      <c r="I77" s="86">
        <f t="shared" si="17"/>
        <v>28.324</v>
      </c>
      <c r="J77" s="25">
        <f t="shared" si="17"/>
        <v>3.575</v>
      </c>
      <c r="K77" s="86">
        <f t="shared" si="16"/>
        <v>3.445</v>
      </c>
      <c r="L77" s="86">
        <f t="shared" si="16"/>
        <v>337.224</v>
      </c>
      <c r="M77" s="97">
        <f t="shared" si="16"/>
        <v>152.158</v>
      </c>
      <c r="N77" s="86">
        <f t="shared" si="16"/>
        <v>1251.762</v>
      </c>
      <c r="O77" s="86">
        <f t="shared" si="16"/>
        <v>1676.374</v>
      </c>
      <c r="P77" s="9">
        <f t="shared" si="16"/>
        <v>5969.253999999999</v>
      </c>
    </row>
    <row r="78" spans="1:16" ht="19.5" customHeight="1">
      <c r="A78" s="44" t="s">
        <v>0</v>
      </c>
      <c r="B78" s="382" t="s">
        <v>54</v>
      </c>
      <c r="C78" s="54" t="s">
        <v>16</v>
      </c>
      <c r="D78" s="284">
        <v>22.6195</v>
      </c>
      <c r="E78" s="284">
        <v>26.0396</v>
      </c>
      <c r="F78" s="296">
        <v>30.0001</v>
      </c>
      <c r="G78" s="284">
        <v>35.5206</v>
      </c>
      <c r="H78" s="286">
        <v>36.0204</v>
      </c>
      <c r="I78" s="285">
        <v>155.1516</v>
      </c>
      <c r="J78" s="284">
        <v>154.4445</v>
      </c>
      <c r="K78" s="285">
        <v>72.1014</v>
      </c>
      <c r="L78" s="284">
        <v>39.0557</v>
      </c>
      <c r="M78" s="285">
        <v>98.3272</v>
      </c>
      <c r="N78" s="285">
        <v>81.6543</v>
      </c>
      <c r="O78" s="284">
        <v>35.6352</v>
      </c>
      <c r="P78" s="8">
        <f aca="true" t="shared" si="18" ref="P78:P83">SUM(D78:O78)</f>
        <v>786.5701000000001</v>
      </c>
    </row>
    <row r="79" spans="1:16" ht="19.5" customHeight="1">
      <c r="A79" s="44" t="s">
        <v>34</v>
      </c>
      <c r="B79" s="383"/>
      <c r="C79" s="48" t="s">
        <v>18</v>
      </c>
      <c r="D79" s="288">
        <v>15044.445</v>
      </c>
      <c r="E79" s="288">
        <v>17807.041</v>
      </c>
      <c r="F79" s="300">
        <v>27537.598</v>
      </c>
      <c r="G79" s="288">
        <v>26482.08</v>
      </c>
      <c r="H79" s="290">
        <v>26846.59</v>
      </c>
      <c r="I79" s="289">
        <v>55428.417</v>
      </c>
      <c r="J79" s="288">
        <v>74662.491</v>
      </c>
      <c r="K79" s="289">
        <v>58972.058</v>
      </c>
      <c r="L79" s="288">
        <v>26003.655</v>
      </c>
      <c r="M79" s="289">
        <v>46800.37</v>
      </c>
      <c r="N79" s="289">
        <v>31750.801</v>
      </c>
      <c r="O79" s="288">
        <v>25846.722</v>
      </c>
      <c r="P79" s="9">
        <f t="shared" si="18"/>
        <v>433182.268</v>
      </c>
    </row>
    <row r="80" spans="1:16" ht="19.5" customHeight="1">
      <c r="A80" s="44" t="s">
        <v>0</v>
      </c>
      <c r="B80" s="382" t="s">
        <v>55</v>
      </c>
      <c r="C80" s="54" t="s">
        <v>16</v>
      </c>
      <c r="D80" s="284">
        <v>0.0266</v>
      </c>
      <c r="E80" s="284">
        <v>1.2412</v>
      </c>
      <c r="F80" s="296">
        <v>4.6794</v>
      </c>
      <c r="G80" s="284">
        <v>2.1454</v>
      </c>
      <c r="H80" s="286">
        <v>0.4732</v>
      </c>
      <c r="I80" s="285">
        <v>2.3318</v>
      </c>
      <c r="J80" s="284">
        <v>0.048</v>
      </c>
      <c r="K80" s="285">
        <v>0.065</v>
      </c>
      <c r="L80" s="284">
        <v>2.0626</v>
      </c>
      <c r="M80" s="285">
        <v>0.6636</v>
      </c>
      <c r="N80" s="285">
        <v>0.007</v>
      </c>
      <c r="O80" s="284">
        <v>0.0798</v>
      </c>
      <c r="P80" s="8">
        <f t="shared" si="18"/>
        <v>13.8236</v>
      </c>
    </row>
    <row r="81" spans="1:16" ht="19.5" customHeight="1">
      <c r="A81" s="44" t="s">
        <v>0</v>
      </c>
      <c r="B81" s="383"/>
      <c r="C81" s="48" t="s">
        <v>18</v>
      </c>
      <c r="D81" s="288">
        <v>1.432</v>
      </c>
      <c r="E81" s="288">
        <v>151.935</v>
      </c>
      <c r="F81" s="300">
        <v>565.483</v>
      </c>
      <c r="G81" s="288">
        <v>293.911</v>
      </c>
      <c r="H81" s="290">
        <v>56.265</v>
      </c>
      <c r="I81" s="289">
        <v>227.507</v>
      </c>
      <c r="J81" s="288">
        <v>5.616</v>
      </c>
      <c r="K81" s="289">
        <v>18.036</v>
      </c>
      <c r="L81" s="288">
        <v>300.489</v>
      </c>
      <c r="M81" s="289">
        <v>75.213</v>
      </c>
      <c r="N81" s="289">
        <v>0.756</v>
      </c>
      <c r="O81" s="288">
        <v>9.18</v>
      </c>
      <c r="P81" s="9">
        <f t="shared" si="18"/>
        <v>1705.8230000000003</v>
      </c>
    </row>
    <row r="82" spans="1:16" ht="19.5" customHeight="1">
      <c r="A82" s="44" t="s">
        <v>56</v>
      </c>
      <c r="B82" s="47" t="s">
        <v>57</v>
      </c>
      <c r="C82" s="54" t="s">
        <v>16</v>
      </c>
      <c r="D82" s="284"/>
      <c r="E82" s="284"/>
      <c r="F82" s="296"/>
      <c r="G82" s="284"/>
      <c r="H82" s="286"/>
      <c r="I82" s="285">
        <v>0.0006</v>
      </c>
      <c r="J82" s="284"/>
      <c r="K82" s="285"/>
      <c r="L82" s="284"/>
      <c r="M82" s="285">
        <v>0.0012</v>
      </c>
      <c r="N82" s="285"/>
      <c r="O82" s="284"/>
      <c r="P82" s="8">
        <f t="shared" si="18"/>
        <v>0.0018</v>
      </c>
    </row>
    <row r="83" spans="1:16" ht="19.5" customHeight="1">
      <c r="A83" s="50"/>
      <c r="B83" s="48" t="s">
        <v>58</v>
      </c>
      <c r="C83" s="48" t="s">
        <v>18</v>
      </c>
      <c r="D83" s="288"/>
      <c r="E83" s="288"/>
      <c r="F83" s="300"/>
      <c r="G83" s="288"/>
      <c r="H83" s="290"/>
      <c r="I83" s="289">
        <v>0.032</v>
      </c>
      <c r="J83" s="288"/>
      <c r="K83" s="289"/>
      <c r="L83" s="288"/>
      <c r="M83" s="289">
        <v>0.13</v>
      </c>
      <c r="N83" s="289"/>
      <c r="O83" s="288"/>
      <c r="P83" s="9">
        <f t="shared" si="18"/>
        <v>0.162</v>
      </c>
    </row>
    <row r="84" spans="1:16" ht="19.5" customHeight="1">
      <c r="A84" s="50"/>
      <c r="B84" s="382" t="s">
        <v>59</v>
      </c>
      <c r="C84" s="54" t="s">
        <v>16</v>
      </c>
      <c r="D84" s="284"/>
      <c r="E84" s="284"/>
      <c r="F84" s="296"/>
      <c r="G84" s="284"/>
      <c r="H84" s="286"/>
      <c r="I84" s="285"/>
      <c r="J84" s="284"/>
      <c r="K84" s="285"/>
      <c r="L84" s="284"/>
      <c r="M84" s="285"/>
      <c r="N84" s="285"/>
      <c r="O84" s="284"/>
      <c r="P84" s="8"/>
    </row>
    <row r="85" spans="1:16" ht="19.5" customHeight="1">
      <c r="A85" s="44" t="s">
        <v>17</v>
      </c>
      <c r="B85" s="383"/>
      <c r="C85" s="48" t="s">
        <v>18</v>
      </c>
      <c r="D85" s="288"/>
      <c r="E85" s="302"/>
      <c r="F85" s="300"/>
      <c r="G85" s="288"/>
      <c r="H85" s="290"/>
      <c r="I85" s="289"/>
      <c r="J85" s="288"/>
      <c r="K85" s="289"/>
      <c r="L85" s="288"/>
      <c r="M85" s="289"/>
      <c r="N85" s="289"/>
      <c r="O85" s="288"/>
      <c r="P85" s="9"/>
    </row>
    <row r="86" spans="1:16" ht="19.5" customHeight="1">
      <c r="A86" s="50"/>
      <c r="B86" s="47" t="s">
        <v>20</v>
      </c>
      <c r="C86" s="54" t="s">
        <v>16</v>
      </c>
      <c r="D86" s="284">
        <v>59.5942</v>
      </c>
      <c r="E86" s="284">
        <v>75.9926</v>
      </c>
      <c r="F86" s="296">
        <v>114.8744</v>
      </c>
      <c r="G86" s="284">
        <v>222.3712</v>
      </c>
      <c r="H86" s="286">
        <v>99.1787</v>
      </c>
      <c r="I86" s="285">
        <v>111.3413</v>
      </c>
      <c r="J86" s="284">
        <v>52.7682</v>
      </c>
      <c r="K86" s="285">
        <v>90.8029</v>
      </c>
      <c r="L86" s="284">
        <v>224.2294</v>
      </c>
      <c r="M86" s="285">
        <v>160.314</v>
      </c>
      <c r="N86" s="285">
        <v>114.2426</v>
      </c>
      <c r="O86" s="284">
        <v>65.2887</v>
      </c>
      <c r="P86" s="8">
        <f aca="true" t="shared" si="19" ref="P86:P107">SUM(D86:O86)</f>
        <v>1390.9982000000002</v>
      </c>
    </row>
    <row r="87" spans="1:16" ht="19.5" customHeight="1">
      <c r="A87" s="50"/>
      <c r="B87" s="48" t="s">
        <v>60</v>
      </c>
      <c r="C87" s="48" t="s">
        <v>18</v>
      </c>
      <c r="D87" s="288">
        <v>26802.058</v>
      </c>
      <c r="E87" s="288">
        <v>29166.281</v>
      </c>
      <c r="F87" s="300">
        <v>45686.413</v>
      </c>
      <c r="G87" s="288">
        <v>73148.508</v>
      </c>
      <c r="H87" s="290">
        <v>24763.719</v>
      </c>
      <c r="I87" s="289">
        <v>22368.445</v>
      </c>
      <c r="J87" s="288">
        <v>21610.058</v>
      </c>
      <c r="K87" s="289">
        <v>35812.063</v>
      </c>
      <c r="L87" s="288">
        <v>71542.423</v>
      </c>
      <c r="M87" s="289">
        <v>71818.504</v>
      </c>
      <c r="N87" s="289">
        <v>36513.781</v>
      </c>
      <c r="O87" s="288">
        <v>32763.13</v>
      </c>
      <c r="P87" s="9">
        <f t="shared" si="19"/>
        <v>491995.3830000001</v>
      </c>
    </row>
    <row r="88" spans="1:16" s="38" customFormat="1" ht="19.5" customHeight="1">
      <c r="A88" s="44" t="s">
        <v>23</v>
      </c>
      <c r="B88" s="380" t="s">
        <v>114</v>
      </c>
      <c r="C88" s="54" t="s">
        <v>16</v>
      </c>
      <c r="D88" s="26">
        <f aca="true" t="shared" si="20" ref="D88:I89">+D78+D80+D82+D84+D86</f>
        <v>82.24029999999999</v>
      </c>
      <c r="E88" s="26">
        <f t="shared" si="20"/>
        <v>103.2734</v>
      </c>
      <c r="F88" s="26">
        <f>+F78+F80+F82+F84+F86</f>
        <v>149.5539</v>
      </c>
      <c r="G88" s="26">
        <f>+G78+G80+G82+G84+G86</f>
        <v>260.0372</v>
      </c>
      <c r="H88" s="26">
        <f t="shared" si="20"/>
        <v>135.6723</v>
      </c>
      <c r="I88" s="28">
        <f t="shared" si="20"/>
        <v>268.82529999999997</v>
      </c>
      <c r="J88" s="26">
        <f aca="true" t="shared" si="21" ref="J88:L89">+J78+J80+J82+J84+J86</f>
        <v>207.2607</v>
      </c>
      <c r="K88" s="28">
        <f t="shared" si="21"/>
        <v>162.96929999999998</v>
      </c>
      <c r="L88" s="28">
        <f t="shared" si="21"/>
        <v>265.34770000000003</v>
      </c>
      <c r="M88" s="28">
        <f aca="true" t="shared" si="22" ref="M88:O89">+M78+M80+M82+M84+M86</f>
        <v>259.306</v>
      </c>
      <c r="N88" s="28">
        <f t="shared" si="22"/>
        <v>195.90390000000002</v>
      </c>
      <c r="O88" s="28">
        <f t="shared" si="22"/>
        <v>101.00370000000001</v>
      </c>
      <c r="P88" s="8">
        <f>SUM(D88:O88)</f>
        <v>2191.3937000000005</v>
      </c>
    </row>
    <row r="89" spans="1:16" s="38" customFormat="1" ht="19.5" customHeight="1">
      <c r="A89" s="49"/>
      <c r="B89" s="381"/>
      <c r="C89" s="48" t="s">
        <v>18</v>
      </c>
      <c r="D89" s="25">
        <f t="shared" si="20"/>
        <v>41847.935</v>
      </c>
      <c r="E89" s="25">
        <f t="shared" si="20"/>
        <v>47125.257</v>
      </c>
      <c r="F89" s="25">
        <f>+F79+F81+F83+F85+F87</f>
        <v>73789.494</v>
      </c>
      <c r="G89" s="25">
        <f>+G79+G81+G83+G85+G87</f>
        <v>99924.49900000001</v>
      </c>
      <c r="H89" s="25">
        <f t="shared" si="20"/>
        <v>51666.574</v>
      </c>
      <c r="I89" s="86">
        <f t="shared" si="20"/>
        <v>78024.401</v>
      </c>
      <c r="J89" s="25">
        <f t="shared" si="21"/>
        <v>96278.165</v>
      </c>
      <c r="K89" s="86">
        <f t="shared" si="21"/>
        <v>94802.157</v>
      </c>
      <c r="L89" s="86">
        <f t="shared" si="21"/>
        <v>97846.567</v>
      </c>
      <c r="M89" s="86">
        <f t="shared" si="22"/>
        <v>118694.217</v>
      </c>
      <c r="N89" s="86">
        <f t="shared" si="22"/>
        <v>68265.338</v>
      </c>
      <c r="O89" s="86">
        <f t="shared" si="22"/>
        <v>58619.03200000001</v>
      </c>
      <c r="P89" s="9">
        <f>SUM(D89:O89)</f>
        <v>926883.636</v>
      </c>
    </row>
    <row r="90" spans="1:16" ht="19.5" customHeight="1">
      <c r="A90" s="376" t="s">
        <v>118</v>
      </c>
      <c r="B90" s="377"/>
      <c r="C90" s="54" t="s">
        <v>16</v>
      </c>
      <c r="D90" s="284">
        <v>5.2388</v>
      </c>
      <c r="E90" s="284">
        <v>3.4074</v>
      </c>
      <c r="F90" s="296">
        <v>1.3422</v>
      </c>
      <c r="G90" s="284">
        <v>4.6862</v>
      </c>
      <c r="H90" s="286">
        <v>4.4238</v>
      </c>
      <c r="I90" s="285">
        <v>11.7776</v>
      </c>
      <c r="J90" s="284">
        <v>17.1728</v>
      </c>
      <c r="K90" s="285">
        <v>18.237</v>
      </c>
      <c r="L90" s="284">
        <v>24.3248</v>
      </c>
      <c r="M90" s="285">
        <v>24.7456</v>
      </c>
      <c r="N90" s="285">
        <v>30.5994</v>
      </c>
      <c r="O90" s="284">
        <v>19.111</v>
      </c>
      <c r="P90" s="8">
        <f t="shared" si="19"/>
        <v>165.06659999999997</v>
      </c>
    </row>
    <row r="91" spans="1:16" ht="19.5" customHeight="1">
      <c r="A91" s="378"/>
      <c r="B91" s="379"/>
      <c r="C91" s="48" t="s">
        <v>18</v>
      </c>
      <c r="D91" s="288">
        <v>3403.679</v>
      </c>
      <c r="E91" s="288">
        <v>2835.187</v>
      </c>
      <c r="F91" s="300">
        <v>2403.769</v>
      </c>
      <c r="G91" s="288">
        <v>5497.619</v>
      </c>
      <c r="H91" s="290">
        <v>5353.036</v>
      </c>
      <c r="I91" s="289">
        <v>11298.15</v>
      </c>
      <c r="J91" s="288">
        <v>17545.564</v>
      </c>
      <c r="K91" s="289">
        <v>19743.923</v>
      </c>
      <c r="L91" s="288">
        <v>20494.661</v>
      </c>
      <c r="M91" s="289">
        <v>19628.416</v>
      </c>
      <c r="N91" s="289">
        <v>21077.781</v>
      </c>
      <c r="O91" s="288">
        <v>17533.992</v>
      </c>
      <c r="P91" s="9">
        <f t="shared" si="19"/>
        <v>146815.777</v>
      </c>
    </row>
    <row r="92" spans="1:16" ht="19.5" customHeight="1">
      <c r="A92" s="376" t="s">
        <v>61</v>
      </c>
      <c r="B92" s="377"/>
      <c r="C92" s="54" t="s">
        <v>16</v>
      </c>
      <c r="D92" s="284"/>
      <c r="E92" s="284">
        <v>24.641</v>
      </c>
      <c r="F92" s="296">
        <v>547.869</v>
      </c>
      <c r="G92" s="284">
        <v>1674.144</v>
      </c>
      <c r="H92" s="286">
        <v>738.417</v>
      </c>
      <c r="I92" s="285">
        <v>0.123</v>
      </c>
      <c r="J92" s="284"/>
      <c r="K92" s="285"/>
      <c r="L92" s="284"/>
      <c r="M92" s="285"/>
      <c r="N92" s="285"/>
      <c r="O92" s="284"/>
      <c r="P92" s="8">
        <f t="shared" si="19"/>
        <v>2985.194</v>
      </c>
    </row>
    <row r="93" spans="1:16" ht="19.5" customHeight="1">
      <c r="A93" s="378"/>
      <c r="B93" s="379"/>
      <c r="C93" s="48" t="s">
        <v>18</v>
      </c>
      <c r="D93" s="288"/>
      <c r="E93" s="288">
        <v>2408.175</v>
      </c>
      <c r="F93" s="300">
        <v>53957.685</v>
      </c>
      <c r="G93" s="288">
        <v>271465.162</v>
      </c>
      <c r="H93" s="290">
        <v>58051.664</v>
      </c>
      <c r="I93" s="289">
        <v>3.985</v>
      </c>
      <c r="J93" s="288"/>
      <c r="K93" s="289"/>
      <c r="L93" s="288"/>
      <c r="M93" s="289"/>
      <c r="N93" s="289"/>
      <c r="O93" s="288"/>
      <c r="P93" s="9">
        <f t="shared" si="19"/>
        <v>385886.671</v>
      </c>
    </row>
    <row r="94" spans="1:16" ht="19.5" customHeight="1">
      <c r="A94" s="376" t="s">
        <v>119</v>
      </c>
      <c r="B94" s="377"/>
      <c r="C94" s="54" t="s">
        <v>16</v>
      </c>
      <c r="D94" s="284">
        <v>0.0064</v>
      </c>
      <c r="E94" s="284">
        <v>0.0252</v>
      </c>
      <c r="F94" s="296">
        <v>0.0224</v>
      </c>
      <c r="G94" s="284">
        <v>0.007</v>
      </c>
      <c r="H94" s="286">
        <v>0.05</v>
      </c>
      <c r="I94" s="285">
        <v>0.0648</v>
      </c>
      <c r="J94" s="284">
        <v>0.0052</v>
      </c>
      <c r="K94" s="285">
        <v>0.0144</v>
      </c>
      <c r="L94" s="284">
        <v>0.1348</v>
      </c>
      <c r="M94" s="285">
        <v>0.0072</v>
      </c>
      <c r="N94" s="285">
        <v>0.0018</v>
      </c>
      <c r="O94" s="284">
        <v>0.0096</v>
      </c>
      <c r="P94" s="8">
        <f t="shared" si="19"/>
        <v>0.34880000000000005</v>
      </c>
    </row>
    <row r="95" spans="1:16" ht="19.5" customHeight="1">
      <c r="A95" s="378"/>
      <c r="B95" s="379"/>
      <c r="C95" s="48" t="s">
        <v>18</v>
      </c>
      <c r="D95" s="288">
        <v>4.515</v>
      </c>
      <c r="E95" s="288">
        <v>58.716</v>
      </c>
      <c r="F95" s="300">
        <v>60.228</v>
      </c>
      <c r="G95" s="288">
        <v>20.239</v>
      </c>
      <c r="H95" s="290">
        <v>129.88</v>
      </c>
      <c r="I95" s="289">
        <v>149.321</v>
      </c>
      <c r="J95" s="288">
        <v>6.199</v>
      </c>
      <c r="K95" s="289">
        <v>40.435</v>
      </c>
      <c r="L95" s="288">
        <v>328.279</v>
      </c>
      <c r="M95" s="289">
        <v>14.774</v>
      </c>
      <c r="N95" s="289">
        <v>2.851</v>
      </c>
      <c r="O95" s="288">
        <v>32.443</v>
      </c>
      <c r="P95" s="9">
        <f t="shared" si="19"/>
        <v>847.88</v>
      </c>
    </row>
    <row r="96" spans="1:16" ht="19.5" customHeight="1">
      <c r="A96" s="376" t="s">
        <v>120</v>
      </c>
      <c r="B96" s="377"/>
      <c r="C96" s="54" t="s">
        <v>16</v>
      </c>
      <c r="D96" s="284">
        <v>0.565</v>
      </c>
      <c r="E96" s="284">
        <v>9.3522</v>
      </c>
      <c r="F96" s="296">
        <v>6.1956</v>
      </c>
      <c r="G96" s="284">
        <v>3.4378</v>
      </c>
      <c r="H96" s="286">
        <v>8.9658</v>
      </c>
      <c r="I96" s="285">
        <v>23.2484</v>
      </c>
      <c r="J96" s="284">
        <v>0.9</v>
      </c>
      <c r="K96" s="285">
        <v>0.85</v>
      </c>
      <c r="L96" s="284">
        <v>11.137</v>
      </c>
      <c r="M96" s="285">
        <v>6.4494</v>
      </c>
      <c r="N96" s="285">
        <v>0.33</v>
      </c>
      <c r="O96" s="284">
        <v>0.6886</v>
      </c>
      <c r="P96" s="8">
        <f t="shared" si="19"/>
        <v>72.11979999999998</v>
      </c>
    </row>
    <row r="97" spans="1:16" ht="19.5" customHeight="1">
      <c r="A97" s="378"/>
      <c r="B97" s="379"/>
      <c r="C97" s="48" t="s">
        <v>18</v>
      </c>
      <c r="D97" s="288">
        <v>990.171</v>
      </c>
      <c r="E97" s="288">
        <v>18649.764</v>
      </c>
      <c r="F97" s="300">
        <v>11456.643</v>
      </c>
      <c r="G97" s="288">
        <v>4955.948</v>
      </c>
      <c r="H97" s="290">
        <v>15037.931</v>
      </c>
      <c r="I97" s="289">
        <v>32339.175</v>
      </c>
      <c r="J97" s="288">
        <v>1509.84</v>
      </c>
      <c r="K97" s="289">
        <v>1279.476</v>
      </c>
      <c r="L97" s="288">
        <v>18196.537</v>
      </c>
      <c r="M97" s="289">
        <v>11259.519</v>
      </c>
      <c r="N97" s="289">
        <v>509.652</v>
      </c>
      <c r="O97" s="288">
        <v>1813.989</v>
      </c>
      <c r="P97" s="9">
        <f t="shared" si="19"/>
        <v>117998.64499999999</v>
      </c>
    </row>
    <row r="98" spans="1:16" ht="19.5" customHeight="1">
      <c r="A98" s="376" t="s">
        <v>63</v>
      </c>
      <c r="B98" s="377"/>
      <c r="C98" s="54" t="s">
        <v>16</v>
      </c>
      <c r="D98" s="284"/>
      <c r="E98" s="304">
        <v>0.1596</v>
      </c>
      <c r="F98" s="296">
        <v>0.0994</v>
      </c>
      <c r="G98" s="284">
        <v>0.008</v>
      </c>
      <c r="H98" s="286">
        <v>0.0012</v>
      </c>
      <c r="I98" s="285">
        <v>0.0014</v>
      </c>
      <c r="J98" s="284">
        <v>0.0006</v>
      </c>
      <c r="K98" s="285"/>
      <c r="L98" s="284">
        <v>0.0004</v>
      </c>
      <c r="M98" s="285">
        <v>0.0004</v>
      </c>
      <c r="N98" s="285"/>
      <c r="O98" s="284"/>
      <c r="P98" s="8">
        <f t="shared" si="19"/>
        <v>0.271</v>
      </c>
    </row>
    <row r="99" spans="1:16" ht="19.5" customHeight="1">
      <c r="A99" s="378"/>
      <c r="B99" s="379"/>
      <c r="C99" s="48" t="s">
        <v>18</v>
      </c>
      <c r="D99" s="288"/>
      <c r="E99" s="288">
        <v>53.834</v>
      </c>
      <c r="F99" s="300">
        <v>29.61</v>
      </c>
      <c r="G99" s="288">
        <v>10.303</v>
      </c>
      <c r="H99" s="290">
        <v>1.987</v>
      </c>
      <c r="I99" s="289">
        <v>1.382</v>
      </c>
      <c r="J99" s="288">
        <v>0.648</v>
      </c>
      <c r="K99" s="289"/>
      <c r="L99" s="288">
        <v>0.518</v>
      </c>
      <c r="M99" s="289">
        <v>0.518</v>
      </c>
      <c r="N99" s="289"/>
      <c r="O99" s="288"/>
      <c r="P99" s="9">
        <f t="shared" si="19"/>
        <v>98.8</v>
      </c>
    </row>
    <row r="100" spans="1:16" ht="19.5" customHeight="1">
      <c r="A100" s="376" t="s">
        <v>121</v>
      </c>
      <c r="B100" s="377"/>
      <c r="C100" s="54" t="s">
        <v>16</v>
      </c>
      <c r="D100" s="284"/>
      <c r="E100" s="284"/>
      <c r="F100" s="296"/>
      <c r="G100" s="284"/>
      <c r="H100" s="286"/>
      <c r="I100" s="285"/>
      <c r="J100" s="284"/>
      <c r="K100" s="285"/>
      <c r="L100" s="284"/>
      <c r="M100" s="285"/>
      <c r="N100" s="285"/>
      <c r="O100" s="284"/>
      <c r="P100" s="8"/>
    </row>
    <row r="101" spans="1:16" ht="19.5" customHeight="1">
      <c r="A101" s="378"/>
      <c r="B101" s="379"/>
      <c r="C101" s="48" t="s">
        <v>18</v>
      </c>
      <c r="D101" s="288"/>
      <c r="E101" s="288"/>
      <c r="F101" s="300"/>
      <c r="G101" s="288"/>
      <c r="H101" s="290"/>
      <c r="I101" s="289"/>
      <c r="J101" s="288"/>
      <c r="K101" s="289"/>
      <c r="L101" s="288"/>
      <c r="M101" s="289"/>
      <c r="N101" s="289"/>
      <c r="O101" s="288"/>
      <c r="P101" s="9"/>
    </row>
    <row r="102" spans="1:16" ht="19.5" customHeight="1">
      <c r="A102" s="376" t="s">
        <v>64</v>
      </c>
      <c r="B102" s="377"/>
      <c r="C102" s="54" t="s">
        <v>16</v>
      </c>
      <c r="D102" s="284">
        <v>59.1952</v>
      </c>
      <c r="E102" s="284">
        <v>129.526</v>
      </c>
      <c r="F102" s="296">
        <v>203.3168</v>
      </c>
      <c r="G102" s="284">
        <v>356.49705</v>
      </c>
      <c r="H102" s="286">
        <v>701.1106</v>
      </c>
      <c r="I102" s="285">
        <v>1299.8148</v>
      </c>
      <c r="J102" s="284">
        <v>1716.67727</v>
      </c>
      <c r="K102" s="285">
        <v>163.3283</v>
      </c>
      <c r="L102" s="284">
        <v>536.8508</v>
      </c>
      <c r="M102" s="285">
        <v>267.8339</v>
      </c>
      <c r="N102" s="285">
        <v>200.1653</v>
      </c>
      <c r="O102" s="284">
        <v>118.314</v>
      </c>
      <c r="P102" s="8">
        <f t="shared" si="19"/>
        <v>5752.63002</v>
      </c>
    </row>
    <row r="103" spans="1:16" ht="19.5" customHeight="1">
      <c r="A103" s="378"/>
      <c r="B103" s="379"/>
      <c r="C103" s="48" t="s">
        <v>18</v>
      </c>
      <c r="D103" s="288">
        <v>23761.538</v>
      </c>
      <c r="E103" s="288">
        <v>53917.673</v>
      </c>
      <c r="F103" s="300">
        <v>89217.069</v>
      </c>
      <c r="G103" s="288">
        <v>188665.6</v>
      </c>
      <c r="H103" s="290">
        <v>431282.067</v>
      </c>
      <c r="I103" s="289">
        <v>668564.757</v>
      </c>
      <c r="J103" s="288">
        <v>883824.695</v>
      </c>
      <c r="K103" s="289">
        <v>50695.561</v>
      </c>
      <c r="L103" s="288">
        <v>95761.897</v>
      </c>
      <c r="M103" s="289">
        <v>57727.475</v>
      </c>
      <c r="N103" s="289">
        <v>48238.856</v>
      </c>
      <c r="O103" s="288">
        <v>56244.125</v>
      </c>
      <c r="P103" s="9">
        <f t="shared" si="19"/>
        <v>2647901.313</v>
      </c>
    </row>
    <row r="104" spans="1:16" s="38" customFormat="1" ht="19.5" customHeight="1">
      <c r="A104" s="384" t="s">
        <v>65</v>
      </c>
      <c r="B104" s="385"/>
      <c r="C104" s="54" t="s">
        <v>16</v>
      </c>
      <c r="D104" s="26">
        <f aca="true" t="shared" si="23" ref="D104:I104">+D9+D11+D23+D29+D37+D39+D41+D43+D45+D47+D49+D51+D53+D59+D76+D88+D90+D92+D94+D96+D98+D100+D102</f>
        <v>8168.6304</v>
      </c>
      <c r="E104" s="26">
        <f t="shared" si="23"/>
        <v>5311.6077000000005</v>
      </c>
      <c r="F104" s="26">
        <f t="shared" si="23"/>
        <v>3868.175</v>
      </c>
      <c r="G104" s="26">
        <f t="shared" si="23"/>
        <v>5338.936949999999</v>
      </c>
      <c r="H104" s="26">
        <f t="shared" si="23"/>
        <v>7016.483499999999</v>
      </c>
      <c r="I104" s="28">
        <f t="shared" si="23"/>
        <v>11217.490600000001</v>
      </c>
      <c r="J104" s="26">
        <f aca="true" t="shared" si="24" ref="J104:O105">+J9+J11+J23+J29+J37+J39+J41+J43+J45+J47+J49+J51+J53+J59+J76+J88+J90+J92+J94+J96+J98+J100+J102</f>
        <v>9890.40777</v>
      </c>
      <c r="K104" s="28">
        <f t="shared" si="24"/>
        <v>6734.1182</v>
      </c>
      <c r="L104" s="28">
        <f t="shared" si="24"/>
        <v>4959.886299999999</v>
      </c>
      <c r="M104" s="28">
        <f t="shared" si="24"/>
        <v>8441.2857</v>
      </c>
      <c r="N104" s="28">
        <f t="shared" si="24"/>
        <v>10345.965399999997</v>
      </c>
      <c r="O104" s="28">
        <f t="shared" si="24"/>
        <v>8997.108300000002</v>
      </c>
      <c r="P104" s="8">
        <f>SUM(D104:O104)</f>
        <v>90290.09582</v>
      </c>
    </row>
    <row r="105" spans="1:16" s="38" customFormat="1" ht="19.5" customHeight="1">
      <c r="A105" s="386"/>
      <c r="B105" s="387"/>
      <c r="C105" s="48" t="s">
        <v>18</v>
      </c>
      <c r="D105" s="25">
        <f aca="true" t="shared" si="25" ref="D105:I105">+D10+D12+D24+D30+D38+D40+D42+D44+D46+D48+D50+D52+D54+D60+D77+D89+D91+D93+D95+D97+D99+D101+D103</f>
        <v>1015575.075</v>
      </c>
      <c r="E105" s="25">
        <f t="shared" si="25"/>
        <v>625113.16</v>
      </c>
      <c r="F105" s="25">
        <f t="shared" si="25"/>
        <v>587528.1419999999</v>
      </c>
      <c r="G105" s="25">
        <f t="shared" si="25"/>
        <v>925602.4039999999</v>
      </c>
      <c r="H105" s="25">
        <f t="shared" si="25"/>
        <v>1236730.946</v>
      </c>
      <c r="I105" s="86">
        <f t="shared" si="25"/>
        <v>1989550.986</v>
      </c>
      <c r="J105" s="25">
        <f t="shared" si="24"/>
        <v>2391305.8940000003</v>
      </c>
      <c r="K105" s="86">
        <f t="shared" si="24"/>
        <v>1379249.1900000004</v>
      </c>
      <c r="L105" s="86">
        <f t="shared" si="24"/>
        <v>843697.1460000001</v>
      </c>
      <c r="M105" s="86">
        <f t="shared" si="24"/>
        <v>1415478.885</v>
      </c>
      <c r="N105" s="86">
        <f t="shared" si="24"/>
        <v>1255729.852</v>
      </c>
      <c r="O105" s="86">
        <f t="shared" si="24"/>
        <v>1108853.313</v>
      </c>
      <c r="P105" s="9">
        <f>SUM(D105:O105)</f>
        <v>14774414.993</v>
      </c>
    </row>
    <row r="106" spans="1:16" ht="19.5" customHeight="1">
      <c r="A106" s="44" t="s">
        <v>0</v>
      </c>
      <c r="B106" s="382" t="s">
        <v>134</v>
      </c>
      <c r="C106" s="54" t="s">
        <v>16</v>
      </c>
      <c r="D106" s="284">
        <v>0.9811</v>
      </c>
      <c r="E106" s="284"/>
      <c r="F106" s="296">
        <v>0.4632</v>
      </c>
      <c r="G106" s="284">
        <v>0.5285</v>
      </c>
      <c r="H106" s="286">
        <v>2.1018</v>
      </c>
      <c r="I106" s="285">
        <v>0.7909</v>
      </c>
      <c r="J106" s="284">
        <v>0.8208</v>
      </c>
      <c r="K106" s="285">
        <v>0.3806</v>
      </c>
      <c r="L106" s="284">
        <v>2.0163</v>
      </c>
      <c r="M106" s="285">
        <v>0.1861</v>
      </c>
      <c r="N106" s="285">
        <v>0.4716</v>
      </c>
      <c r="O106" s="284">
        <v>0.6573</v>
      </c>
      <c r="P106" s="8">
        <f t="shared" si="19"/>
        <v>9.398200000000001</v>
      </c>
    </row>
    <row r="107" spans="1:16" ht="19.5" customHeight="1">
      <c r="A107" s="44" t="s">
        <v>0</v>
      </c>
      <c r="B107" s="383"/>
      <c r="C107" s="48" t="s">
        <v>18</v>
      </c>
      <c r="D107" s="288">
        <v>2612.997</v>
      </c>
      <c r="E107" s="288"/>
      <c r="F107" s="300">
        <v>1385.043</v>
      </c>
      <c r="G107" s="288">
        <v>1309.468</v>
      </c>
      <c r="H107" s="290">
        <v>6950.565</v>
      </c>
      <c r="I107" s="289">
        <v>1485.553</v>
      </c>
      <c r="J107" s="288">
        <v>2610.032</v>
      </c>
      <c r="K107" s="289">
        <v>1604.464</v>
      </c>
      <c r="L107" s="288">
        <v>4195.905</v>
      </c>
      <c r="M107" s="289">
        <v>168.173</v>
      </c>
      <c r="N107" s="289">
        <v>1484.277</v>
      </c>
      <c r="O107" s="288">
        <v>2514.669</v>
      </c>
      <c r="P107" s="9">
        <f t="shared" si="19"/>
        <v>26321.146</v>
      </c>
    </row>
    <row r="108" spans="1:16" ht="19.5" customHeight="1">
      <c r="A108" s="44" t="s">
        <v>66</v>
      </c>
      <c r="B108" s="382" t="s">
        <v>135</v>
      </c>
      <c r="C108" s="54" t="s">
        <v>16</v>
      </c>
      <c r="D108" s="284">
        <v>28.5746</v>
      </c>
      <c r="E108" s="284">
        <v>14.1406</v>
      </c>
      <c r="F108" s="296">
        <v>12.0292</v>
      </c>
      <c r="G108" s="284">
        <v>24.3506</v>
      </c>
      <c r="H108" s="286">
        <v>28.9542</v>
      </c>
      <c r="I108" s="285">
        <v>49.1204</v>
      </c>
      <c r="J108" s="284">
        <v>51.5472</v>
      </c>
      <c r="K108" s="285">
        <v>18.233</v>
      </c>
      <c r="L108" s="284">
        <v>28.728</v>
      </c>
      <c r="M108" s="285">
        <v>23.25</v>
      </c>
      <c r="N108" s="285">
        <v>21.8298</v>
      </c>
      <c r="O108" s="284">
        <v>23.7564</v>
      </c>
      <c r="P108" s="8">
        <f aca="true" t="shared" si="26" ref="P108:P115">SUM(D108:O108)</f>
        <v>324.514</v>
      </c>
    </row>
    <row r="109" spans="1:16" ht="19.5" customHeight="1">
      <c r="A109" s="44" t="s">
        <v>0</v>
      </c>
      <c r="B109" s="383"/>
      <c r="C109" s="48" t="s">
        <v>18</v>
      </c>
      <c r="D109" s="288">
        <v>10937.728</v>
      </c>
      <c r="E109" s="288">
        <v>4611.223</v>
      </c>
      <c r="F109" s="300">
        <v>4340.177</v>
      </c>
      <c r="G109" s="288">
        <v>8863.693</v>
      </c>
      <c r="H109" s="290">
        <v>11535.146</v>
      </c>
      <c r="I109" s="289">
        <v>20628.832</v>
      </c>
      <c r="J109" s="288">
        <v>23627.014</v>
      </c>
      <c r="K109" s="289">
        <v>9075.334</v>
      </c>
      <c r="L109" s="288">
        <v>9337.225</v>
      </c>
      <c r="M109" s="289">
        <v>9247.259</v>
      </c>
      <c r="N109" s="289">
        <v>9918.868</v>
      </c>
      <c r="O109" s="288">
        <v>13042.107</v>
      </c>
      <c r="P109" s="9">
        <f t="shared" si="26"/>
        <v>135164.606</v>
      </c>
    </row>
    <row r="110" spans="1:16" ht="19.5" customHeight="1">
      <c r="A110" s="44" t="s">
        <v>0</v>
      </c>
      <c r="B110" s="382" t="s">
        <v>124</v>
      </c>
      <c r="C110" s="54" t="s">
        <v>16</v>
      </c>
      <c r="D110" s="284">
        <v>569.7387</v>
      </c>
      <c r="E110" s="284">
        <v>156.875</v>
      </c>
      <c r="F110" s="296">
        <v>96.0708</v>
      </c>
      <c r="G110" s="284">
        <v>79.8307</v>
      </c>
      <c r="H110" s="286">
        <v>88.2344</v>
      </c>
      <c r="I110" s="285">
        <v>99.0696</v>
      </c>
      <c r="J110" s="284">
        <v>18.953</v>
      </c>
      <c r="K110" s="285">
        <v>37.7304</v>
      </c>
      <c r="L110" s="284">
        <v>610.7074</v>
      </c>
      <c r="M110" s="285">
        <v>1187.4078</v>
      </c>
      <c r="N110" s="285">
        <v>2000.1578</v>
      </c>
      <c r="O110" s="284">
        <v>1166.0279</v>
      </c>
      <c r="P110" s="8">
        <f t="shared" si="26"/>
        <v>6110.8035</v>
      </c>
    </row>
    <row r="111" spans="1:16" ht="19.5" customHeight="1">
      <c r="A111" s="50"/>
      <c r="B111" s="383"/>
      <c r="C111" s="48" t="s">
        <v>18</v>
      </c>
      <c r="D111" s="288">
        <v>151986.983</v>
      </c>
      <c r="E111" s="288">
        <v>59199.294</v>
      </c>
      <c r="F111" s="300">
        <v>48904.358</v>
      </c>
      <c r="G111" s="288">
        <v>46610.413</v>
      </c>
      <c r="H111" s="290">
        <v>56470.563</v>
      </c>
      <c r="I111" s="289">
        <v>10303.673</v>
      </c>
      <c r="J111" s="288">
        <v>3476.301</v>
      </c>
      <c r="K111" s="289">
        <v>9904.589</v>
      </c>
      <c r="L111" s="288">
        <v>138645.974</v>
      </c>
      <c r="M111" s="289">
        <v>259041.631</v>
      </c>
      <c r="N111" s="289">
        <v>447439.146</v>
      </c>
      <c r="O111" s="288">
        <v>313177.754</v>
      </c>
      <c r="P111" s="9">
        <f t="shared" si="26"/>
        <v>1545160.679</v>
      </c>
    </row>
    <row r="112" spans="1:16" ht="19.5" customHeight="1">
      <c r="A112" s="44" t="s">
        <v>67</v>
      </c>
      <c r="B112" s="382" t="s">
        <v>125</v>
      </c>
      <c r="C112" s="54" t="s">
        <v>16</v>
      </c>
      <c r="D112" s="284">
        <v>0.0678</v>
      </c>
      <c r="E112" s="284">
        <v>0.1163</v>
      </c>
      <c r="F112" s="296">
        <v>0.1157</v>
      </c>
      <c r="G112" s="284">
        <v>1.5075</v>
      </c>
      <c r="H112" s="286">
        <v>6.8547</v>
      </c>
      <c r="I112" s="285">
        <v>7.1863</v>
      </c>
      <c r="J112" s="284">
        <v>0.5718</v>
      </c>
      <c r="K112" s="285">
        <v>0.2638</v>
      </c>
      <c r="L112" s="284">
        <v>1.603</v>
      </c>
      <c r="M112" s="285">
        <v>3.3094</v>
      </c>
      <c r="N112" s="285">
        <v>1.9612</v>
      </c>
      <c r="O112" s="284">
        <v>0.6584</v>
      </c>
      <c r="P112" s="8">
        <f t="shared" si="26"/>
        <v>24.215900000000005</v>
      </c>
    </row>
    <row r="113" spans="1:16" ht="19.5" customHeight="1">
      <c r="A113" s="50"/>
      <c r="B113" s="383"/>
      <c r="C113" s="48" t="s">
        <v>18</v>
      </c>
      <c r="D113" s="288">
        <v>195.983</v>
      </c>
      <c r="E113" s="288">
        <v>559.43</v>
      </c>
      <c r="F113" s="300">
        <v>1019.319</v>
      </c>
      <c r="G113" s="288">
        <v>5295.014</v>
      </c>
      <c r="H113" s="290">
        <v>17124.166</v>
      </c>
      <c r="I113" s="289">
        <v>15238.84</v>
      </c>
      <c r="J113" s="288">
        <v>1297.896</v>
      </c>
      <c r="K113" s="289">
        <v>628.982</v>
      </c>
      <c r="L113" s="288">
        <v>1568.76</v>
      </c>
      <c r="M113" s="289">
        <v>1372.666</v>
      </c>
      <c r="N113" s="289">
        <v>753.816</v>
      </c>
      <c r="O113" s="288">
        <v>696.286</v>
      </c>
      <c r="P113" s="9">
        <f t="shared" si="26"/>
        <v>45751.158</v>
      </c>
    </row>
    <row r="114" spans="1:16" ht="19.5" customHeight="1">
      <c r="A114" s="50"/>
      <c r="B114" s="382" t="s">
        <v>126</v>
      </c>
      <c r="C114" s="54" t="s">
        <v>16</v>
      </c>
      <c r="D114" s="284">
        <v>1.0528</v>
      </c>
      <c r="E114" s="304">
        <v>2.2788</v>
      </c>
      <c r="F114" s="296">
        <v>4.586</v>
      </c>
      <c r="G114" s="284">
        <v>4.3788</v>
      </c>
      <c r="H114" s="286">
        <v>2.0898</v>
      </c>
      <c r="I114" s="285">
        <v>1.7848</v>
      </c>
      <c r="J114" s="284">
        <v>2.801</v>
      </c>
      <c r="K114" s="285">
        <v>1.051</v>
      </c>
      <c r="L114" s="284">
        <v>1.8212</v>
      </c>
      <c r="M114" s="285">
        <v>3.5328</v>
      </c>
      <c r="N114" s="285">
        <v>1.0958</v>
      </c>
      <c r="O114" s="284">
        <v>0.6866</v>
      </c>
      <c r="P114" s="8">
        <f t="shared" si="26"/>
        <v>27.1594</v>
      </c>
    </row>
    <row r="115" spans="1:16" ht="19.5" customHeight="1">
      <c r="A115" s="50"/>
      <c r="B115" s="383"/>
      <c r="C115" s="48" t="s">
        <v>18</v>
      </c>
      <c r="D115" s="288">
        <v>964.866</v>
      </c>
      <c r="E115" s="288">
        <v>2579.914</v>
      </c>
      <c r="F115" s="300">
        <v>5791.422</v>
      </c>
      <c r="G115" s="288">
        <v>5168.667</v>
      </c>
      <c r="H115" s="290">
        <v>2406.738</v>
      </c>
      <c r="I115" s="289">
        <v>2538.725</v>
      </c>
      <c r="J115" s="288">
        <v>3937.896</v>
      </c>
      <c r="K115" s="289">
        <v>1474.2</v>
      </c>
      <c r="L115" s="288">
        <v>2286.052</v>
      </c>
      <c r="M115" s="289">
        <v>3937.414</v>
      </c>
      <c r="N115" s="289">
        <v>1555.659</v>
      </c>
      <c r="O115" s="288">
        <v>1145.555</v>
      </c>
      <c r="P115" s="9">
        <f t="shared" si="26"/>
        <v>33787.108</v>
      </c>
    </row>
    <row r="116" spans="1:16" ht="19.5" customHeight="1">
      <c r="A116" s="44" t="s">
        <v>68</v>
      </c>
      <c r="B116" s="382" t="s">
        <v>127</v>
      </c>
      <c r="C116" s="54" t="s">
        <v>16</v>
      </c>
      <c r="D116" s="284"/>
      <c r="E116" s="284"/>
      <c r="F116" s="296"/>
      <c r="G116" s="284"/>
      <c r="H116" s="286"/>
      <c r="I116" s="285"/>
      <c r="J116" s="284"/>
      <c r="K116" s="285"/>
      <c r="L116" s="284"/>
      <c r="M116" s="285"/>
      <c r="N116" s="285"/>
      <c r="O116" s="284"/>
      <c r="P116" s="8"/>
    </row>
    <row r="117" spans="1:16" ht="19.5" customHeight="1">
      <c r="A117" s="50"/>
      <c r="B117" s="383"/>
      <c r="C117" s="48" t="s">
        <v>18</v>
      </c>
      <c r="D117" s="288"/>
      <c r="E117" s="288"/>
      <c r="F117" s="300"/>
      <c r="G117" s="288"/>
      <c r="H117" s="290"/>
      <c r="I117" s="289"/>
      <c r="J117" s="288"/>
      <c r="K117" s="289"/>
      <c r="L117" s="288"/>
      <c r="M117" s="289"/>
      <c r="N117" s="289"/>
      <c r="O117" s="288"/>
      <c r="P117" s="9"/>
    </row>
    <row r="118" spans="1:16" ht="19.5" customHeight="1">
      <c r="A118" s="50"/>
      <c r="B118" s="382" t="s">
        <v>128</v>
      </c>
      <c r="C118" s="54" t="s">
        <v>16</v>
      </c>
      <c r="D118" s="284">
        <v>15.004</v>
      </c>
      <c r="E118" s="284">
        <v>4.5756</v>
      </c>
      <c r="F118" s="296">
        <v>4.408</v>
      </c>
      <c r="G118" s="284">
        <v>0.2198</v>
      </c>
      <c r="H118" s="286"/>
      <c r="I118" s="285"/>
      <c r="J118" s="284"/>
      <c r="K118" s="285"/>
      <c r="L118" s="284"/>
      <c r="M118" s="285"/>
      <c r="N118" s="285">
        <v>10.4632</v>
      </c>
      <c r="O118" s="284">
        <v>8.8826</v>
      </c>
      <c r="P118" s="8">
        <f aca="true" t="shared" si="27" ref="P118:P134">SUM(D118:O118)</f>
        <v>43.553200000000004</v>
      </c>
    </row>
    <row r="119" spans="1:16" ht="19.5" customHeight="1">
      <c r="A119" s="50"/>
      <c r="B119" s="383"/>
      <c r="C119" s="48" t="s">
        <v>18</v>
      </c>
      <c r="D119" s="288">
        <v>33257.788</v>
      </c>
      <c r="E119" s="288">
        <v>8385.361</v>
      </c>
      <c r="F119" s="300">
        <v>8348.112</v>
      </c>
      <c r="G119" s="288">
        <v>470.07</v>
      </c>
      <c r="H119" s="290"/>
      <c r="I119" s="289"/>
      <c r="J119" s="288"/>
      <c r="K119" s="289"/>
      <c r="L119" s="288"/>
      <c r="M119" s="289"/>
      <c r="N119" s="289">
        <v>19528.885</v>
      </c>
      <c r="O119" s="288">
        <v>21100.629</v>
      </c>
      <c r="P119" s="9">
        <f t="shared" si="27"/>
        <v>91090.845</v>
      </c>
    </row>
    <row r="120" spans="1:16" ht="19.5" customHeight="1">
      <c r="A120" s="44" t="s">
        <v>70</v>
      </c>
      <c r="B120" s="382" t="s">
        <v>144</v>
      </c>
      <c r="C120" s="54" t="s">
        <v>16</v>
      </c>
      <c r="D120" s="284">
        <v>1.7856</v>
      </c>
      <c r="E120" s="284">
        <v>0.6584</v>
      </c>
      <c r="F120" s="296">
        <v>0.7871</v>
      </c>
      <c r="G120" s="284">
        <v>0.2385</v>
      </c>
      <c r="H120" s="286">
        <v>0.1507</v>
      </c>
      <c r="I120" s="285">
        <v>0.2187</v>
      </c>
      <c r="J120" s="284"/>
      <c r="K120" s="285"/>
      <c r="L120" s="284"/>
      <c r="M120" s="285">
        <v>0.8735</v>
      </c>
      <c r="N120" s="285">
        <v>1.3079</v>
      </c>
      <c r="O120" s="284">
        <v>1.9183</v>
      </c>
      <c r="P120" s="8">
        <f t="shared" si="27"/>
        <v>7.938700000000001</v>
      </c>
    </row>
    <row r="121" spans="1:16" ht="19.5" customHeight="1">
      <c r="A121" s="50"/>
      <c r="B121" s="383"/>
      <c r="C121" s="48" t="s">
        <v>18</v>
      </c>
      <c r="D121" s="288">
        <v>2108.421</v>
      </c>
      <c r="E121" s="288">
        <v>948.286</v>
      </c>
      <c r="F121" s="300">
        <v>917.069</v>
      </c>
      <c r="G121" s="288">
        <v>123.552</v>
      </c>
      <c r="H121" s="290">
        <v>86.497</v>
      </c>
      <c r="I121" s="289">
        <v>108.691</v>
      </c>
      <c r="J121" s="288"/>
      <c r="K121" s="289"/>
      <c r="L121" s="288"/>
      <c r="M121" s="289">
        <v>1755.625</v>
      </c>
      <c r="N121" s="289">
        <v>2415.864</v>
      </c>
      <c r="O121" s="288">
        <v>3480.158</v>
      </c>
      <c r="P121" s="9">
        <f t="shared" si="27"/>
        <v>11944.162999999999</v>
      </c>
    </row>
    <row r="122" spans="1:16" ht="19.5" customHeight="1">
      <c r="A122" s="50"/>
      <c r="B122" s="382" t="s">
        <v>72</v>
      </c>
      <c r="C122" s="54" t="s">
        <v>16</v>
      </c>
      <c r="D122" s="284">
        <v>9.0535</v>
      </c>
      <c r="E122" s="284">
        <v>2.4142</v>
      </c>
      <c r="F122" s="296">
        <v>4.0209</v>
      </c>
      <c r="G122" s="284">
        <v>5.4731</v>
      </c>
      <c r="H122" s="286">
        <v>6.4275</v>
      </c>
      <c r="I122" s="285">
        <v>6.8934</v>
      </c>
      <c r="J122" s="284">
        <v>5.3789</v>
      </c>
      <c r="K122" s="285">
        <v>7.3527</v>
      </c>
      <c r="L122" s="284">
        <v>4.9709</v>
      </c>
      <c r="M122" s="285">
        <v>4.9984</v>
      </c>
      <c r="N122" s="285">
        <v>3.7377</v>
      </c>
      <c r="O122" s="284">
        <v>2.6402</v>
      </c>
      <c r="P122" s="8">
        <f t="shared" si="27"/>
        <v>63.3614</v>
      </c>
    </row>
    <row r="123" spans="1:16" ht="19.5" customHeight="1">
      <c r="A123" s="50"/>
      <c r="B123" s="383"/>
      <c r="C123" s="48" t="s">
        <v>18</v>
      </c>
      <c r="D123" s="288">
        <v>1898.881</v>
      </c>
      <c r="E123" s="288">
        <v>1609.634</v>
      </c>
      <c r="F123" s="300">
        <v>2991.192</v>
      </c>
      <c r="G123" s="288">
        <v>3885.617</v>
      </c>
      <c r="H123" s="290">
        <v>4154.026</v>
      </c>
      <c r="I123" s="289">
        <v>5386.583</v>
      </c>
      <c r="J123" s="288">
        <v>3965.745</v>
      </c>
      <c r="K123" s="289">
        <v>3393.955</v>
      </c>
      <c r="L123" s="288">
        <v>3457.205</v>
      </c>
      <c r="M123" s="289">
        <v>3428.128</v>
      </c>
      <c r="N123" s="289">
        <v>2422.034</v>
      </c>
      <c r="O123" s="288">
        <v>2426.416</v>
      </c>
      <c r="P123" s="9">
        <f t="shared" si="27"/>
        <v>39019.416</v>
      </c>
    </row>
    <row r="124" spans="1:16" ht="19.5" customHeight="1">
      <c r="A124" s="44" t="s">
        <v>23</v>
      </c>
      <c r="B124" s="382" t="s">
        <v>130</v>
      </c>
      <c r="C124" s="54" t="s">
        <v>16</v>
      </c>
      <c r="D124" s="284">
        <v>3.2954</v>
      </c>
      <c r="E124" s="284">
        <v>1.7599</v>
      </c>
      <c r="F124" s="296">
        <v>1.0368</v>
      </c>
      <c r="G124" s="284">
        <v>0.7624</v>
      </c>
      <c r="H124" s="286">
        <v>2.6828</v>
      </c>
      <c r="I124" s="285">
        <v>2.7769</v>
      </c>
      <c r="J124" s="284">
        <v>32.3255</v>
      </c>
      <c r="K124" s="285">
        <v>13.2345</v>
      </c>
      <c r="L124" s="284">
        <v>1.106</v>
      </c>
      <c r="M124" s="285">
        <v>0.7158</v>
      </c>
      <c r="N124" s="285">
        <v>3.3146</v>
      </c>
      <c r="O124" s="284">
        <v>3.5352</v>
      </c>
      <c r="P124" s="8">
        <f t="shared" si="27"/>
        <v>66.5458</v>
      </c>
    </row>
    <row r="125" spans="1:16" ht="19.5" customHeight="1">
      <c r="A125" s="50"/>
      <c r="B125" s="383"/>
      <c r="C125" s="48" t="s">
        <v>18</v>
      </c>
      <c r="D125" s="288">
        <v>8978.684</v>
      </c>
      <c r="E125" s="288">
        <v>3264.674</v>
      </c>
      <c r="F125" s="300">
        <v>749.586</v>
      </c>
      <c r="G125" s="288">
        <v>565.637</v>
      </c>
      <c r="H125" s="290">
        <v>7597.604</v>
      </c>
      <c r="I125" s="289">
        <v>6851.919</v>
      </c>
      <c r="J125" s="288">
        <v>16230.522</v>
      </c>
      <c r="K125" s="289">
        <v>5127.796</v>
      </c>
      <c r="L125" s="288">
        <v>708.727</v>
      </c>
      <c r="M125" s="289">
        <v>560.915</v>
      </c>
      <c r="N125" s="289">
        <v>12758.217</v>
      </c>
      <c r="O125" s="288">
        <v>8881.205</v>
      </c>
      <c r="P125" s="9">
        <f t="shared" si="27"/>
        <v>72275.486</v>
      </c>
    </row>
    <row r="126" spans="1:16" ht="19.5" customHeight="1">
      <c r="A126" s="50"/>
      <c r="B126" s="47" t="s">
        <v>20</v>
      </c>
      <c r="C126" s="54" t="s">
        <v>16</v>
      </c>
      <c r="D126" s="284">
        <v>0.031</v>
      </c>
      <c r="E126" s="284">
        <v>0.7057</v>
      </c>
      <c r="F126" s="296">
        <v>15.9095</v>
      </c>
      <c r="G126" s="284">
        <v>13.4884</v>
      </c>
      <c r="H126" s="286">
        <v>17.7601</v>
      </c>
      <c r="I126" s="285">
        <v>20.1926</v>
      </c>
      <c r="J126" s="284">
        <v>16.1851</v>
      </c>
      <c r="K126" s="285">
        <v>5.8874</v>
      </c>
      <c r="L126" s="284">
        <v>0.3238</v>
      </c>
      <c r="M126" s="285">
        <v>0.0275</v>
      </c>
      <c r="N126" s="285">
        <v>0.028</v>
      </c>
      <c r="O126" s="284">
        <v>0.0595</v>
      </c>
      <c r="P126" s="8">
        <f t="shared" si="27"/>
        <v>90.59860000000002</v>
      </c>
    </row>
    <row r="127" spans="1:16" ht="19.5" customHeight="1">
      <c r="A127" s="50"/>
      <c r="B127" s="48" t="s">
        <v>73</v>
      </c>
      <c r="C127" s="48" t="s">
        <v>18</v>
      </c>
      <c r="D127" s="288">
        <v>633.15</v>
      </c>
      <c r="E127" s="288">
        <v>612.57</v>
      </c>
      <c r="F127" s="300">
        <v>4648.278</v>
      </c>
      <c r="G127" s="288">
        <v>6057.235</v>
      </c>
      <c r="H127" s="290">
        <v>7352.802</v>
      </c>
      <c r="I127" s="289">
        <v>8275.94</v>
      </c>
      <c r="J127" s="288">
        <v>8042.209</v>
      </c>
      <c r="K127" s="289">
        <v>5753.744</v>
      </c>
      <c r="L127" s="288">
        <v>869.551</v>
      </c>
      <c r="M127" s="289">
        <v>380.808</v>
      </c>
      <c r="N127" s="289">
        <v>667.44</v>
      </c>
      <c r="O127" s="288">
        <v>1175.861</v>
      </c>
      <c r="P127" s="9">
        <f t="shared" si="27"/>
        <v>44469.587999999996</v>
      </c>
    </row>
    <row r="128" spans="1:16" s="38" customFormat="1" ht="19.5" customHeight="1">
      <c r="A128" s="50"/>
      <c r="B128" s="380" t="s">
        <v>107</v>
      </c>
      <c r="C128" s="54" t="s">
        <v>16</v>
      </c>
      <c r="D128" s="26">
        <f aca="true" t="shared" si="28" ref="D128:J129">+D106+D108+D110+D112+D114+D116+D118+D120+D122+D124+D126</f>
        <v>629.5845</v>
      </c>
      <c r="E128" s="26">
        <f t="shared" si="28"/>
        <v>183.5245</v>
      </c>
      <c r="F128" s="26">
        <f t="shared" si="28"/>
        <v>139.4272</v>
      </c>
      <c r="G128" s="26">
        <f t="shared" si="28"/>
        <v>130.7783</v>
      </c>
      <c r="H128" s="26">
        <f t="shared" si="28"/>
        <v>155.25599999999997</v>
      </c>
      <c r="I128" s="28">
        <f t="shared" si="28"/>
        <v>188.0336</v>
      </c>
      <c r="J128" s="26">
        <f t="shared" si="28"/>
        <v>128.5833</v>
      </c>
      <c r="K128" s="28">
        <f>+K106+K108+K110+K112+K114+K116+K118+K120+K122+K124+K126</f>
        <v>84.13340000000001</v>
      </c>
      <c r="L128" s="83">
        <f>+L106+L108+L110+L112+L114+L116+L118+L120+L122+L124+L126</f>
        <v>651.2765999999999</v>
      </c>
      <c r="M128" s="83">
        <f aca="true" t="shared" si="29" ref="M128:O129">+M106+M108+M110+M112+M114+M116+M118+M120+M122+M124+M126</f>
        <v>1224.3012999999996</v>
      </c>
      <c r="N128" s="83">
        <f t="shared" si="29"/>
        <v>2044.3675999999998</v>
      </c>
      <c r="O128" s="28">
        <f t="shared" si="29"/>
        <v>1208.8224000000002</v>
      </c>
      <c r="P128" s="8">
        <f>SUM(D128:O128)</f>
        <v>6768.088699999999</v>
      </c>
    </row>
    <row r="129" spans="1:16" s="38" customFormat="1" ht="19.5" customHeight="1">
      <c r="A129" s="49"/>
      <c r="B129" s="381"/>
      <c r="C129" s="48" t="s">
        <v>18</v>
      </c>
      <c r="D129" s="25">
        <f t="shared" si="28"/>
        <v>213575.48100000003</v>
      </c>
      <c r="E129" s="25">
        <f t="shared" si="28"/>
        <v>81770.38600000001</v>
      </c>
      <c r="F129" s="25">
        <f t="shared" si="28"/>
        <v>79094.556</v>
      </c>
      <c r="G129" s="25">
        <f t="shared" si="28"/>
        <v>78349.36600000001</v>
      </c>
      <c r="H129" s="25">
        <f t="shared" si="28"/>
        <v>113678.107</v>
      </c>
      <c r="I129" s="86">
        <f t="shared" si="28"/>
        <v>70818.756</v>
      </c>
      <c r="J129" s="25">
        <f t="shared" si="28"/>
        <v>63187.615000000005</v>
      </c>
      <c r="K129" s="86">
        <f>+K107+K109+K111+K113+K115+K117+K119+K121+K123+K125+K127</f>
        <v>36963.064000000006</v>
      </c>
      <c r="L129" s="86">
        <f>+L107+L109+L111+L113+L115+L117+L119+L121+L123+L125+L127</f>
        <v>161069.399</v>
      </c>
      <c r="M129" s="86">
        <f t="shared" si="29"/>
        <v>279892.619</v>
      </c>
      <c r="N129" s="86">
        <f t="shared" si="29"/>
        <v>498944.206</v>
      </c>
      <c r="O129" s="86">
        <f t="shared" si="29"/>
        <v>367640.6400000001</v>
      </c>
      <c r="P129" s="9">
        <f>SUM(D129:O129)</f>
        <v>2044984.195</v>
      </c>
    </row>
    <row r="130" spans="1:16" ht="19.5" customHeight="1">
      <c r="A130" s="44" t="s">
        <v>0</v>
      </c>
      <c r="B130" s="382" t="s">
        <v>74</v>
      </c>
      <c r="C130" s="54" t="s">
        <v>16</v>
      </c>
      <c r="D130" s="284"/>
      <c r="E130" s="284"/>
      <c r="F130" s="296"/>
      <c r="G130" s="284"/>
      <c r="H130" s="286"/>
      <c r="I130" s="285"/>
      <c r="J130" s="284"/>
      <c r="K130" s="285"/>
      <c r="L130" s="284"/>
      <c r="M130" s="285"/>
      <c r="N130" s="285"/>
      <c r="O130" s="284"/>
      <c r="P130" s="8"/>
    </row>
    <row r="131" spans="1:16" ht="19.5" customHeight="1">
      <c r="A131" s="44" t="s">
        <v>0</v>
      </c>
      <c r="B131" s="383"/>
      <c r="C131" s="48" t="s">
        <v>18</v>
      </c>
      <c r="D131" s="288"/>
      <c r="E131" s="288"/>
      <c r="F131" s="300"/>
      <c r="G131" s="288"/>
      <c r="H131" s="290"/>
      <c r="I131" s="289"/>
      <c r="J131" s="288"/>
      <c r="K131" s="289"/>
      <c r="L131" s="288"/>
      <c r="M131" s="289"/>
      <c r="N131" s="289"/>
      <c r="O131" s="288"/>
      <c r="P131" s="9"/>
    </row>
    <row r="132" spans="1:16" ht="19.5" customHeight="1">
      <c r="A132" s="44" t="s">
        <v>75</v>
      </c>
      <c r="B132" s="382" t="s">
        <v>76</v>
      </c>
      <c r="C132" s="54" t="s">
        <v>16</v>
      </c>
      <c r="D132" s="284"/>
      <c r="E132" s="284"/>
      <c r="F132" s="296"/>
      <c r="G132" s="284"/>
      <c r="H132" s="286"/>
      <c r="I132" s="285"/>
      <c r="J132" s="284"/>
      <c r="K132" s="285"/>
      <c r="L132" s="284"/>
      <c r="M132" s="285"/>
      <c r="N132" s="285"/>
      <c r="O132" s="284"/>
      <c r="P132" s="8"/>
    </row>
    <row r="133" spans="1:16" ht="19.5" customHeight="1">
      <c r="A133" s="50"/>
      <c r="B133" s="383"/>
      <c r="C133" s="48" t="s">
        <v>18</v>
      </c>
      <c r="D133" s="288"/>
      <c r="E133" s="288"/>
      <c r="F133" s="300"/>
      <c r="G133" s="288"/>
      <c r="H133" s="290"/>
      <c r="I133" s="289"/>
      <c r="J133" s="288"/>
      <c r="K133" s="289"/>
      <c r="L133" s="288"/>
      <c r="M133" s="289"/>
      <c r="N133" s="289"/>
      <c r="O133" s="288"/>
      <c r="P133" s="9"/>
    </row>
    <row r="134" spans="1:16" ht="19.5" customHeight="1">
      <c r="A134" s="44" t="s">
        <v>77</v>
      </c>
      <c r="B134" s="47" t="s">
        <v>20</v>
      </c>
      <c r="C134" s="54" t="s">
        <v>16</v>
      </c>
      <c r="D134" s="319">
        <v>6.1622</v>
      </c>
      <c r="E134" s="319">
        <v>5.4853</v>
      </c>
      <c r="F134" s="337">
        <v>6.2967</v>
      </c>
      <c r="G134" s="319">
        <v>1.6686</v>
      </c>
      <c r="H134" s="322">
        <v>0.1196</v>
      </c>
      <c r="I134" s="320">
        <v>0.0995</v>
      </c>
      <c r="J134" s="319"/>
      <c r="K134" s="320">
        <v>0.015</v>
      </c>
      <c r="L134" s="319">
        <v>0.0473</v>
      </c>
      <c r="M134" s="320">
        <v>0.008</v>
      </c>
      <c r="N134" s="320">
        <v>1.6141</v>
      </c>
      <c r="O134" s="319">
        <v>1.6957</v>
      </c>
      <c r="P134" s="194">
        <f t="shared" si="27"/>
        <v>23.212</v>
      </c>
    </row>
    <row r="135" spans="1:16" ht="19.5" customHeight="1">
      <c r="A135" s="50"/>
      <c r="B135" s="47" t="s">
        <v>78</v>
      </c>
      <c r="C135" s="54" t="s">
        <v>79</v>
      </c>
      <c r="D135" s="284"/>
      <c r="E135" s="284"/>
      <c r="F135" s="296"/>
      <c r="G135" s="284"/>
      <c r="H135" s="286"/>
      <c r="I135" s="285"/>
      <c r="J135" s="284"/>
      <c r="K135" s="285"/>
      <c r="L135" s="284"/>
      <c r="M135" s="285"/>
      <c r="N135" s="285"/>
      <c r="O135" s="284"/>
      <c r="P135" s="8"/>
    </row>
    <row r="136" spans="1:16" ht="19.5" customHeight="1">
      <c r="A136" s="44" t="s">
        <v>23</v>
      </c>
      <c r="B136" s="2"/>
      <c r="C136" s="48" t="s">
        <v>18</v>
      </c>
      <c r="D136" s="302">
        <v>2905.057</v>
      </c>
      <c r="E136" s="302">
        <v>2656.853</v>
      </c>
      <c r="F136" s="360">
        <v>3901.741</v>
      </c>
      <c r="G136" s="288">
        <v>1583.908</v>
      </c>
      <c r="H136" s="312">
        <v>261.835</v>
      </c>
      <c r="I136" s="301">
        <v>94.251</v>
      </c>
      <c r="J136" s="302"/>
      <c r="K136" s="301">
        <v>20.25</v>
      </c>
      <c r="L136" s="361">
        <v>42.444</v>
      </c>
      <c r="M136" s="301">
        <v>7.344</v>
      </c>
      <c r="N136" s="301">
        <v>320.317</v>
      </c>
      <c r="O136" s="302">
        <v>361.422</v>
      </c>
      <c r="P136" s="9">
        <f aca="true" t="shared" si="30" ref="P136:P142">SUM(D136:O136)</f>
        <v>12155.421999999997</v>
      </c>
    </row>
    <row r="137" spans="1:16" s="38" customFormat="1" ht="19.5" customHeight="1">
      <c r="A137" s="50"/>
      <c r="B137" s="55" t="s">
        <v>0</v>
      </c>
      <c r="C137" s="54" t="s">
        <v>16</v>
      </c>
      <c r="D137" s="26">
        <f>D130+D132+D134</f>
        <v>6.1622</v>
      </c>
      <c r="E137" s="26">
        <f>E130+E132+E134</f>
        <v>5.4853</v>
      </c>
      <c r="F137" s="26">
        <f>F130+F132+F134</f>
        <v>6.2967</v>
      </c>
      <c r="G137" s="26">
        <f aca="true" t="shared" si="31" ref="G137:O137">+G130+G132+G134</f>
        <v>1.6686</v>
      </c>
      <c r="H137" s="28">
        <f>+H130+H132+H134</f>
        <v>0.1196</v>
      </c>
      <c r="I137" s="28">
        <f t="shared" si="31"/>
        <v>0.0995</v>
      </c>
      <c r="J137" s="26"/>
      <c r="K137" s="28">
        <f>+K130+K132+K134</f>
        <v>0.015</v>
      </c>
      <c r="L137" s="28">
        <f t="shared" si="31"/>
        <v>0.0473</v>
      </c>
      <c r="M137" s="28">
        <f t="shared" si="31"/>
        <v>0.008</v>
      </c>
      <c r="N137" s="28">
        <f t="shared" si="31"/>
        <v>1.6141</v>
      </c>
      <c r="O137" s="28">
        <f t="shared" si="31"/>
        <v>1.6957</v>
      </c>
      <c r="P137" s="194">
        <f t="shared" si="30"/>
        <v>23.212</v>
      </c>
    </row>
    <row r="138" spans="1:16" s="38" customFormat="1" ht="19.5" customHeight="1">
      <c r="A138" s="50"/>
      <c r="B138" s="56" t="s">
        <v>107</v>
      </c>
      <c r="C138" s="54" t="s">
        <v>79</v>
      </c>
      <c r="D138" s="26"/>
      <c r="E138" s="26"/>
      <c r="F138" s="26"/>
      <c r="G138" s="26"/>
      <c r="H138" s="28"/>
      <c r="I138" s="28"/>
      <c r="J138" s="26"/>
      <c r="K138" s="28"/>
      <c r="L138" s="28"/>
      <c r="M138" s="28"/>
      <c r="N138" s="28"/>
      <c r="O138" s="28"/>
      <c r="P138" s="8"/>
    </row>
    <row r="139" spans="1:16" s="38" customFormat="1" ht="19.5" customHeight="1">
      <c r="A139" s="49"/>
      <c r="B139" s="2"/>
      <c r="C139" s="48" t="s">
        <v>18</v>
      </c>
      <c r="D139" s="25">
        <f>D131+D133+D136</f>
        <v>2905.057</v>
      </c>
      <c r="E139" s="25">
        <f aca="true" t="shared" si="32" ref="E139:O139">+E131+E133+E136</f>
        <v>2656.853</v>
      </c>
      <c r="F139" s="25">
        <f t="shared" si="32"/>
        <v>3901.741</v>
      </c>
      <c r="G139" s="25">
        <f t="shared" si="32"/>
        <v>1583.908</v>
      </c>
      <c r="H139" s="86">
        <f>+H131+H133+H136</f>
        <v>261.835</v>
      </c>
      <c r="I139" s="86">
        <f t="shared" si="32"/>
        <v>94.251</v>
      </c>
      <c r="J139" s="25"/>
      <c r="K139" s="86">
        <f>+K131+K133+K136</f>
        <v>20.25</v>
      </c>
      <c r="L139" s="86">
        <f t="shared" si="32"/>
        <v>42.444</v>
      </c>
      <c r="M139" s="86">
        <f t="shared" si="32"/>
        <v>7.344</v>
      </c>
      <c r="N139" s="86">
        <f t="shared" si="32"/>
        <v>320.317</v>
      </c>
      <c r="O139" s="86">
        <f t="shared" si="32"/>
        <v>361.422</v>
      </c>
      <c r="P139" s="9">
        <f t="shared" si="30"/>
        <v>12155.421999999997</v>
      </c>
    </row>
    <row r="140" spans="1:16" s="70" customFormat="1" ht="19.5" customHeight="1">
      <c r="A140" s="57"/>
      <c r="B140" s="58" t="s">
        <v>0</v>
      </c>
      <c r="C140" s="198" t="s">
        <v>16</v>
      </c>
      <c r="D140" s="362">
        <f>D137+D128+D104</f>
        <v>8804.3771</v>
      </c>
      <c r="E140" s="362">
        <f aca="true" t="shared" si="33" ref="E140:O140">E137+E128+E104</f>
        <v>5500.6175</v>
      </c>
      <c r="F140" s="363">
        <f t="shared" si="33"/>
        <v>4013.8989</v>
      </c>
      <c r="G140" s="362">
        <f t="shared" si="33"/>
        <v>5471.383849999999</v>
      </c>
      <c r="H140" s="364">
        <f>H137+H128+H104</f>
        <v>7171.8591</v>
      </c>
      <c r="I140" s="365">
        <f t="shared" si="33"/>
        <v>11405.6237</v>
      </c>
      <c r="J140" s="362">
        <f>J137+J128+J104</f>
        <v>10018.99107</v>
      </c>
      <c r="K140" s="365">
        <f>K137+K128+K104</f>
        <v>6818.2666</v>
      </c>
      <c r="L140" s="362">
        <f t="shared" si="33"/>
        <v>5611.2101999999995</v>
      </c>
      <c r="M140" s="365">
        <f t="shared" si="33"/>
        <v>9665.595</v>
      </c>
      <c r="N140" s="365">
        <f t="shared" si="33"/>
        <v>12391.947099999998</v>
      </c>
      <c r="O140" s="362">
        <f t="shared" si="33"/>
        <v>10207.626400000001</v>
      </c>
      <c r="P140" s="200">
        <f t="shared" si="30"/>
        <v>97081.39652000001</v>
      </c>
    </row>
    <row r="141" spans="1:16" s="70" customFormat="1" ht="19.5" customHeight="1">
      <c r="A141" s="57"/>
      <c r="B141" s="61" t="s">
        <v>220</v>
      </c>
      <c r="C141" s="62" t="s">
        <v>79</v>
      </c>
      <c r="D141" s="357"/>
      <c r="E141" s="357"/>
      <c r="F141" s="357"/>
      <c r="G141" s="357"/>
      <c r="H141" s="366"/>
      <c r="I141" s="287"/>
      <c r="J141" s="357"/>
      <c r="K141" s="287"/>
      <c r="L141" s="357"/>
      <c r="M141" s="287"/>
      <c r="N141" s="287"/>
      <c r="O141" s="357"/>
      <c r="P141" s="15"/>
    </row>
    <row r="142" spans="1:16" s="70" customFormat="1" ht="19.5" customHeight="1" thickBot="1">
      <c r="A142" s="63"/>
      <c r="B142" s="64"/>
      <c r="C142" s="65" t="s">
        <v>18</v>
      </c>
      <c r="D142" s="367">
        <f>D139+D129+D105</f>
        <v>1232055.613</v>
      </c>
      <c r="E142" s="368">
        <f aca="true" t="shared" si="34" ref="E142:O142">E139+E129+E105</f>
        <v>709540.3990000001</v>
      </c>
      <c r="F142" s="369">
        <f t="shared" si="34"/>
        <v>670524.4389999999</v>
      </c>
      <c r="G142" s="368">
        <f t="shared" si="34"/>
        <v>1005535.6779999998</v>
      </c>
      <c r="H142" s="370">
        <f>H139+H129+H105</f>
        <v>1350670.888</v>
      </c>
      <c r="I142" s="371">
        <f t="shared" si="34"/>
        <v>2060463.993</v>
      </c>
      <c r="J142" s="367">
        <f>J139+J129+J105</f>
        <v>2454493.5090000005</v>
      </c>
      <c r="K142" s="371">
        <f>K139+K129+K105</f>
        <v>1416232.5040000004</v>
      </c>
      <c r="L142" s="367">
        <f t="shared" si="34"/>
        <v>1004808.9890000001</v>
      </c>
      <c r="M142" s="371">
        <f t="shared" si="34"/>
        <v>1695378.848</v>
      </c>
      <c r="N142" s="372">
        <f t="shared" si="34"/>
        <v>1754994.375</v>
      </c>
      <c r="O142" s="368">
        <f t="shared" si="34"/>
        <v>1476855.3750000002</v>
      </c>
      <c r="P142" s="7">
        <f t="shared" si="30"/>
        <v>16831554.610000003</v>
      </c>
    </row>
    <row r="143" spans="15:16" ht="18.75">
      <c r="O143" s="66"/>
      <c r="P143" s="67" t="s">
        <v>92</v>
      </c>
    </row>
  </sheetData>
  <sheetProtection/>
  <mergeCells count="52">
    <mergeCell ref="A1:P1"/>
    <mergeCell ref="B5:B6"/>
    <mergeCell ref="B9:B10"/>
    <mergeCell ref="A11:B12"/>
    <mergeCell ref="B13:B14"/>
    <mergeCell ref="B31:B32"/>
    <mergeCell ref="B33:B34"/>
    <mergeCell ref="B15:B16"/>
    <mergeCell ref="B17:B18"/>
    <mergeCell ref="B21:B22"/>
    <mergeCell ref="B23:B24"/>
    <mergeCell ref="B25:B26"/>
    <mergeCell ref="B29:B30"/>
    <mergeCell ref="B37:B38"/>
    <mergeCell ref="A39:B40"/>
    <mergeCell ref="A41:B42"/>
    <mergeCell ref="A43:B44"/>
    <mergeCell ref="A45:B46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B88:B89"/>
    <mergeCell ref="A90:B91"/>
    <mergeCell ref="A92:B93"/>
    <mergeCell ref="A94:B95"/>
    <mergeCell ref="A96:B97"/>
    <mergeCell ref="B130:B131"/>
    <mergeCell ref="A98:B99"/>
    <mergeCell ref="A100:B101"/>
    <mergeCell ref="A102:B103"/>
    <mergeCell ref="A104:B105"/>
    <mergeCell ref="B106:B107"/>
    <mergeCell ref="B108:B109"/>
    <mergeCell ref="B132:B133"/>
    <mergeCell ref="B118:B119"/>
    <mergeCell ref="B120:B121"/>
    <mergeCell ref="B122:B123"/>
    <mergeCell ref="B124:B125"/>
    <mergeCell ref="B110:B111"/>
    <mergeCell ref="B112:B113"/>
    <mergeCell ref="B114:B115"/>
    <mergeCell ref="B116:B117"/>
    <mergeCell ref="B128:B129"/>
  </mergeCells>
  <printOptions/>
  <pageMargins left="0.7" right="0.7" top="0.75" bottom="0.75" header="0.3" footer="0.3"/>
  <pageSetup firstPageNumber="45" useFirstPageNumber="1" fitToHeight="2" fitToWidth="1" horizontalDpi="600" verticalDpi="600" orientation="landscape" paperSize="9" scale="36" r:id="rId1"/>
  <rowBreaks count="1" manualBreakCount="1">
    <brk id="7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="50" zoomScaleNormal="50" zoomScalePageLayoutView="0" workbookViewId="0" topLeftCell="A1">
      <pane xSplit="3" ySplit="4" topLeftCell="D5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2.625" style="11" customWidth="1"/>
    <col min="16" max="16" width="25.625" style="37" customWidth="1"/>
    <col min="17" max="16384" width="9.00390625" style="38" customWidth="1"/>
  </cols>
  <sheetData>
    <row r="1" spans="1:16" ht="30.75" customHeight="1">
      <c r="A1" s="375" t="s">
        <v>104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ht="30.75" customHeight="1">
      <c r="B2" s="36"/>
    </row>
    <row r="3" spans="1:15" ht="19.5" customHeight="1" thickBot="1">
      <c r="A3" s="12" t="s">
        <v>84</v>
      </c>
      <c r="B3" s="39"/>
      <c r="C3" s="12"/>
      <c r="O3" s="12" t="s">
        <v>90</v>
      </c>
    </row>
    <row r="4" spans="1:16" ht="19.5" customHeight="1">
      <c r="A4" s="40"/>
      <c r="B4" s="41"/>
      <c r="C4" s="41"/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8</v>
      </c>
      <c r="K4" s="42" t="s">
        <v>9</v>
      </c>
      <c r="L4" s="42" t="s">
        <v>10</v>
      </c>
      <c r="M4" s="42" t="s">
        <v>11</v>
      </c>
      <c r="N4" s="42" t="s">
        <v>12</v>
      </c>
      <c r="O4" s="42" t="s">
        <v>13</v>
      </c>
      <c r="P4" s="43" t="s">
        <v>14</v>
      </c>
    </row>
    <row r="5" spans="1:16" ht="19.5" customHeight="1">
      <c r="A5" s="44" t="s">
        <v>0</v>
      </c>
      <c r="B5" s="382" t="s">
        <v>15</v>
      </c>
      <c r="C5" s="54" t="s">
        <v>16</v>
      </c>
      <c r="D5" s="284"/>
      <c r="E5" s="284"/>
      <c r="F5" s="296"/>
      <c r="G5" s="284"/>
      <c r="H5" s="286"/>
      <c r="I5" s="284"/>
      <c r="J5" s="284"/>
      <c r="K5" s="284"/>
      <c r="L5" s="284"/>
      <c r="M5" s="285"/>
      <c r="N5" s="285"/>
      <c r="O5" s="284"/>
      <c r="P5" s="8"/>
    </row>
    <row r="6" spans="1:16" ht="19.5" customHeight="1">
      <c r="A6" s="44" t="s">
        <v>17</v>
      </c>
      <c r="B6" s="383"/>
      <c r="C6" s="48" t="s">
        <v>18</v>
      </c>
      <c r="D6" s="288"/>
      <c r="E6" s="288"/>
      <c r="F6" s="300"/>
      <c r="G6" s="288"/>
      <c r="H6" s="290"/>
      <c r="I6" s="288"/>
      <c r="J6" s="288"/>
      <c r="K6" s="288"/>
      <c r="L6" s="288"/>
      <c r="M6" s="289"/>
      <c r="N6" s="289"/>
      <c r="O6" s="288"/>
      <c r="P6" s="9"/>
    </row>
    <row r="7" spans="1:16" ht="19.5" customHeight="1">
      <c r="A7" s="44" t="s">
        <v>19</v>
      </c>
      <c r="B7" s="47" t="s">
        <v>20</v>
      </c>
      <c r="C7" s="54" t="s">
        <v>16</v>
      </c>
      <c r="D7" s="284"/>
      <c r="E7" s="284"/>
      <c r="F7" s="296"/>
      <c r="G7" s="284"/>
      <c r="H7" s="308"/>
      <c r="I7" s="284"/>
      <c r="J7" s="284"/>
      <c r="K7" s="284"/>
      <c r="L7" s="284"/>
      <c r="M7" s="285"/>
      <c r="N7" s="285"/>
      <c r="O7" s="284"/>
      <c r="P7" s="8"/>
    </row>
    <row r="8" spans="1:16" ht="19.5" customHeight="1">
      <c r="A8" s="44" t="s">
        <v>21</v>
      </c>
      <c r="B8" s="48" t="s">
        <v>22</v>
      </c>
      <c r="C8" s="48" t="s">
        <v>18</v>
      </c>
      <c r="D8" s="288"/>
      <c r="E8" s="288"/>
      <c r="F8" s="300"/>
      <c r="G8" s="288"/>
      <c r="H8" s="290"/>
      <c r="I8" s="288"/>
      <c r="J8" s="288"/>
      <c r="K8" s="288"/>
      <c r="L8" s="288"/>
      <c r="M8" s="289"/>
      <c r="N8" s="289"/>
      <c r="O8" s="288"/>
      <c r="P8" s="9"/>
    </row>
    <row r="9" spans="1:16" ht="19.5" customHeight="1">
      <c r="A9" s="44" t="s">
        <v>23</v>
      </c>
      <c r="B9" s="380" t="s">
        <v>114</v>
      </c>
      <c r="C9" s="54" t="s">
        <v>16</v>
      </c>
      <c r="D9" s="26"/>
      <c r="E9" s="26"/>
      <c r="F9" s="26"/>
      <c r="G9" s="26"/>
      <c r="H9" s="26"/>
      <c r="I9" s="26"/>
      <c r="J9" s="26"/>
      <c r="K9" s="26"/>
      <c r="L9" s="28"/>
      <c r="M9" s="28"/>
      <c r="N9" s="28"/>
      <c r="O9" s="28"/>
      <c r="P9" s="8"/>
    </row>
    <row r="10" spans="1:16" ht="19.5" customHeight="1">
      <c r="A10" s="49"/>
      <c r="B10" s="381"/>
      <c r="C10" s="48" t="s">
        <v>18</v>
      </c>
      <c r="D10" s="25"/>
      <c r="E10" s="25"/>
      <c r="F10" s="25"/>
      <c r="G10" s="25"/>
      <c r="H10" s="25"/>
      <c r="I10" s="25"/>
      <c r="J10" s="25"/>
      <c r="K10" s="25"/>
      <c r="L10" s="86"/>
      <c r="M10" s="86"/>
      <c r="N10" s="86"/>
      <c r="O10" s="86"/>
      <c r="P10" s="9"/>
    </row>
    <row r="11" spans="1:16" ht="19.5" customHeight="1">
      <c r="A11" s="376" t="s">
        <v>25</v>
      </c>
      <c r="B11" s="377"/>
      <c r="C11" s="54" t="s">
        <v>16</v>
      </c>
      <c r="D11" s="284"/>
      <c r="E11" s="284"/>
      <c r="F11" s="296"/>
      <c r="G11" s="284"/>
      <c r="H11" s="286"/>
      <c r="I11" s="284"/>
      <c r="J11" s="284"/>
      <c r="K11" s="284"/>
      <c r="L11" s="284"/>
      <c r="M11" s="285"/>
      <c r="N11" s="285"/>
      <c r="O11" s="284"/>
      <c r="P11" s="8"/>
    </row>
    <row r="12" spans="1:16" ht="19.5" customHeight="1">
      <c r="A12" s="378"/>
      <c r="B12" s="379"/>
      <c r="C12" s="48" t="s">
        <v>18</v>
      </c>
      <c r="D12" s="288"/>
      <c r="E12" s="288"/>
      <c r="F12" s="300"/>
      <c r="G12" s="288"/>
      <c r="H12" s="290"/>
      <c r="I12" s="288"/>
      <c r="J12" s="288"/>
      <c r="K12" s="288"/>
      <c r="L12" s="288"/>
      <c r="M12" s="289"/>
      <c r="N12" s="289"/>
      <c r="O12" s="288"/>
      <c r="P12" s="9"/>
    </row>
    <row r="13" spans="1:16" ht="19.5" customHeight="1">
      <c r="A13" s="50"/>
      <c r="B13" s="382" t="s">
        <v>26</v>
      </c>
      <c r="C13" s="54" t="s">
        <v>16</v>
      </c>
      <c r="D13" s="284"/>
      <c r="E13" s="284"/>
      <c r="F13" s="296"/>
      <c r="G13" s="284"/>
      <c r="H13" s="286"/>
      <c r="I13" s="284"/>
      <c r="J13" s="284"/>
      <c r="K13" s="284"/>
      <c r="L13" s="284"/>
      <c r="M13" s="285"/>
      <c r="N13" s="285"/>
      <c r="O13" s="284"/>
      <c r="P13" s="8"/>
    </row>
    <row r="14" spans="1:16" ht="19.5" customHeight="1">
      <c r="A14" s="44" t="s">
        <v>0</v>
      </c>
      <c r="B14" s="383"/>
      <c r="C14" s="48" t="s">
        <v>18</v>
      </c>
      <c r="D14" s="288"/>
      <c r="E14" s="288"/>
      <c r="F14" s="300"/>
      <c r="G14" s="288"/>
      <c r="H14" s="290"/>
      <c r="I14" s="288"/>
      <c r="J14" s="288"/>
      <c r="K14" s="288"/>
      <c r="L14" s="288"/>
      <c r="M14" s="289"/>
      <c r="N14" s="289"/>
      <c r="O14" s="288"/>
      <c r="P14" s="9"/>
    </row>
    <row r="15" spans="1:16" ht="19.5" customHeight="1">
      <c r="A15" s="44" t="s">
        <v>27</v>
      </c>
      <c r="B15" s="382" t="s">
        <v>28</v>
      </c>
      <c r="C15" s="54" t="s">
        <v>16</v>
      </c>
      <c r="D15" s="284"/>
      <c r="E15" s="284"/>
      <c r="F15" s="296"/>
      <c r="G15" s="284"/>
      <c r="H15" s="286"/>
      <c r="I15" s="284"/>
      <c r="J15" s="284"/>
      <c r="K15" s="284"/>
      <c r="L15" s="284"/>
      <c r="M15" s="285"/>
      <c r="N15" s="285"/>
      <c r="O15" s="284"/>
      <c r="P15" s="8"/>
    </row>
    <row r="16" spans="1:16" ht="19.5" customHeight="1">
      <c r="A16" s="44" t="s">
        <v>0</v>
      </c>
      <c r="B16" s="383"/>
      <c r="C16" s="48" t="s">
        <v>18</v>
      </c>
      <c r="D16" s="288"/>
      <c r="E16" s="288"/>
      <c r="F16" s="300"/>
      <c r="G16" s="288"/>
      <c r="H16" s="290"/>
      <c r="I16" s="288"/>
      <c r="J16" s="288"/>
      <c r="K16" s="288"/>
      <c r="L16" s="288"/>
      <c r="M16" s="289"/>
      <c r="N16" s="289"/>
      <c r="O16" s="288"/>
      <c r="P16" s="9"/>
    </row>
    <row r="17" spans="1:16" ht="19.5" customHeight="1">
      <c r="A17" s="44" t="s">
        <v>29</v>
      </c>
      <c r="B17" s="382" t="s">
        <v>30</v>
      </c>
      <c r="C17" s="54" t="s">
        <v>16</v>
      </c>
      <c r="D17" s="284"/>
      <c r="E17" s="284"/>
      <c r="F17" s="296"/>
      <c r="G17" s="284"/>
      <c r="H17" s="286"/>
      <c r="I17" s="284"/>
      <c r="J17" s="284"/>
      <c r="K17" s="284"/>
      <c r="L17" s="284"/>
      <c r="M17" s="285"/>
      <c r="N17" s="285"/>
      <c r="O17" s="284"/>
      <c r="P17" s="8"/>
    </row>
    <row r="18" spans="1:16" ht="19.5" customHeight="1">
      <c r="A18" s="50"/>
      <c r="B18" s="383"/>
      <c r="C18" s="48" t="s">
        <v>18</v>
      </c>
      <c r="D18" s="288"/>
      <c r="E18" s="288"/>
      <c r="F18" s="300"/>
      <c r="G18" s="288"/>
      <c r="H18" s="290"/>
      <c r="I18" s="288"/>
      <c r="J18" s="288"/>
      <c r="K18" s="288"/>
      <c r="L18" s="288"/>
      <c r="M18" s="289"/>
      <c r="N18" s="289"/>
      <c r="O18" s="288"/>
      <c r="P18" s="9"/>
    </row>
    <row r="19" spans="1:16" ht="19.5" customHeight="1">
      <c r="A19" s="44" t="s">
        <v>31</v>
      </c>
      <c r="B19" s="47" t="s">
        <v>108</v>
      </c>
      <c r="C19" s="54" t="s">
        <v>16</v>
      </c>
      <c r="D19" s="284"/>
      <c r="E19" s="284"/>
      <c r="F19" s="296"/>
      <c r="G19" s="284"/>
      <c r="H19" s="286"/>
      <c r="I19" s="284"/>
      <c r="J19" s="284"/>
      <c r="K19" s="284"/>
      <c r="L19" s="284"/>
      <c r="M19" s="285"/>
      <c r="N19" s="285"/>
      <c r="O19" s="284"/>
      <c r="P19" s="8"/>
    </row>
    <row r="20" spans="1:16" ht="19.5" customHeight="1">
      <c r="A20" s="50"/>
      <c r="B20" s="48" t="s">
        <v>109</v>
      </c>
      <c r="C20" s="48" t="s">
        <v>18</v>
      </c>
      <c r="D20" s="288"/>
      <c r="E20" s="288"/>
      <c r="F20" s="300"/>
      <c r="G20" s="288"/>
      <c r="H20" s="290"/>
      <c r="I20" s="288"/>
      <c r="J20" s="288"/>
      <c r="K20" s="288"/>
      <c r="L20" s="288"/>
      <c r="M20" s="289"/>
      <c r="N20" s="289"/>
      <c r="O20" s="288"/>
      <c r="P20" s="9"/>
    </row>
    <row r="21" spans="1:16" ht="19.5" customHeight="1">
      <c r="A21" s="44" t="s">
        <v>23</v>
      </c>
      <c r="B21" s="382" t="s">
        <v>32</v>
      </c>
      <c r="C21" s="54" t="s">
        <v>16</v>
      </c>
      <c r="D21" s="284"/>
      <c r="E21" s="284"/>
      <c r="F21" s="296"/>
      <c r="G21" s="284"/>
      <c r="H21" s="286"/>
      <c r="I21" s="284"/>
      <c r="J21" s="284"/>
      <c r="K21" s="284"/>
      <c r="L21" s="284"/>
      <c r="M21" s="285"/>
      <c r="N21" s="285"/>
      <c r="O21" s="284"/>
      <c r="P21" s="8"/>
    </row>
    <row r="22" spans="1:16" ht="19.5" customHeight="1">
      <c r="A22" s="50"/>
      <c r="B22" s="383"/>
      <c r="C22" s="48" t="s">
        <v>18</v>
      </c>
      <c r="D22" s="288"/>
      <c r="E22" s="288"/>
      <c r="F22" s="300"/>
      <c r="G22" s="288"/>
      <c r="H22" s="290"/>
      <c r="I22" s="288"/>
      <c r="J22" s="288"/>
      <c r="K22" s="288"/>
      <c r="L22" s="288"/>
      <c r="M22" s="289"/>
      <c r="N22" s="289"/>
      <c r="O22" s="288"/>
      <c r="P22" s="9"/>
    </row>
    <row r="23" spans="1:16" ht="19.5" customHeight="1">
      <c r="A23" s="50"/>
      <c r="B23" s="380" t="s">
        <v>114</v>
      </c>
      <c r="C23" s="54" t="s">
        <v>16</v>
      </c>
      <c r="D23" s="26"/>
      <c r="E23" s="26"/>
      <c r="F23" s="26"/>
      <c r="G23" s="26"/>
      <c r="H23" s="26"/>
      <c r="I23" s="26"/>
      <c r="J23" s="26"/>
      <c r="K23" s="26"/>
      <c r="L23" s="28"/>
      <c r="M23" s="28"/>
      <c r="N23" s="28"/>
      <c r="O23" s="28"/>
      <c r="P23" s="8"/>
    </row>
    <row r="24" spans="1:16" ht="19.5" customHeight="1">
      <c r="A24" s="49"/>
      <c r="B24" s="381"/>
      <c r="C24" s="48" t="s">
        <v>18</v>
      </c>
      <c r="D24" s="25"/>
      <c r="E24" s="25"/>
      <c r="F24" s="25"/>
      <c r="G24" s="25"/>
      <c r="H24" s="25"/>
      <c r="I24" s="25"/>
      <c r="J24" s="25"/>
      <c r="K24" s="25"/>
      <c r="L24" s="86"/>
      <c r="M24" s="86"/>
      <c r="N24" s="86"/>
      <c r="O24" s="86"/>
      <c r="P24" s="9"/>
    </row>
    <row r="25" spans="1:16" ht="19.5" customHeight="1">
      <c r="A25" s="44" t="s">
        <v>0</v>
      </c>
      <c r="B25" s="382" t="s">
        <v>33</v>
      </c>
      <c r="C25" s="54" t="s">
        <v>16</v>
      </c>
      <c r="D25" s="284"/>
      <c r="E25" s="284"/>
      <c r="F25" s="296"/>
      <c r="G25" s="284"/>
      <c r="H25" s="286"/>
      <c r="I25" s="284"/>
      <c r="J25" s="284"/>
      <c r="K25" s="284"/>
      <c r="L25" s="284"/>
      <c r="M25" s="285"/>
      <c r="N25" s="285"/>
      <c r="O25" s="284"/>
      <c r="P25" s="8"/>
    </row>
    <row r="26" spans="1:16" ht="19.5" customHeight="1">
      <c r="A26" s="44" t="s">
        <v>34</v>
      </c>
      <c r="B26" s="383"/>
      <c r="C26" s="48" t="s">
        <v>18</v>
      </c>
      <c r="D26" s="288"/>
      <c r="E26" s="288"/>
      <c r="F26" s="300"/>
      <c r="G26" s="288"/>
      <c r="H26" s="290"/>
      <c r="I26" s="288"/>
      <c r="J26" s="288"/>
      <c r="K26" s="288"/>
      <c r="L26" s="288"/>
      <c r="M26" s="289"/>
      <c r="N26" s="289"/>
      <c r="O26" s="288"/>
      <c r="P26" s="9"/>
    </row>
    <row r="27" spans="1:16" ht="19.5" customHeight="1">
      <c r="A27" s="44" t="s">
        <v>35</v>
      </c>
      <c r="B27" s="47" t="s">
        <v>20</v>
      </c>
      <c r="C27" s="54" t="s">
        <v>16</v>
      </c>
      <c r="D27" s="284"/>
      <c r="E27" s="284"/>
      <c r="F27" s="296"/>
      <c r="G27" s="284"/>
      <c r="H27" s="286"/>
      <c r="I27" s="284"/>
      <c r="J27" s="284"/>
      <c r="K27" s="284"/>
      <c r="L27" s="284"/>
      <c r="M27" s="285"/>
      <c r="N27" s="285"/>
      <c r="O27" s="284"/>
      <c r="P27" s="8"/>
    </row>
    <row r="28" spans="1:16" ht="19.5" customHeight="1">
      <c r="A28" s="44" t="s">
        <v>36</v>
      </c>
      <c r="B28" s="48" t="s">
        <v>110</v>
      </c>
      <c r="C28" s="48" t="s">
        <v>18</v>
      </c>
      <c r="D28" s="288"/>
      <c r="E28" s="288"/>
      <c r="F28" s="300"/>
      <c r="G28" s="288"/>
      <c r="H28" s="290"/>
      <c r="I28" s="288"/>
      <c r="J28" s="288"/>
      <c r="K28" s="288"/>
      <c r="L28" s="288"/>
      <c r="M28" s="289"/>
      <c r="N28" s="289"/>
      <c r="O28" s="288"/>
      <c r="P28" s="9"/>
    </row>
    <row r="29" spans="1:16" ht="19.5" customHeight="1">
      <c r="A29" s="44" t="s">
        <v>23</v>
      </c>
      <c r="B29" s="380" t="s">
        <v>114</v>
      </c>
      <c r="C29" s="54" t="s">
        <v>16</v>
      </c>
      <c r="D29" s="26"/>
      <c r="E29" s="26"/>
      <c r="F29" s="26"/>
      <c r="G29" s="26"/>
      <c r="H29" s="26"/>
      <c r="I29" s="26"/>
      <c r="J29" s="26"/>
      <c r="K29" s="26"/>
      <c r="L29" s="28"/>
      <c r="M29" s="28"/>
      <c r="N29" s="28"/>
      <c r="O29" s="28"/>
      <c r="P29" s="8"/>
    </row>
    <row r="30" spans="1:16" ht="19.5" customHeight="1">
      <c r="A30" s="49"/>
      <c r="B30" s="381"/>
      <c r="C30" s="48" t="s">
        <v>18</v>
      </c>
      <c r="D30" s="25"/>
      <c r="E30" s="25"/>
      <c r="F30" s="25"/>
      <c r="G30" s="25"/>
      <c r="H30" s="25"/>
      <c r="I30" s="25"/>
      <c r="J30" s="25"/>
      <c r="K30" s="25"/>
      <c r="L30" s="86"/>
      <c r="M30" s="86"/>
      <c r="N30" s="86"/>
      <c r="O30" s="86"/>
      <c r="P30" s="9"/>
    </row>
    <row r="31" spans="1:16" ht="19.5" customHeight="1">
      <c r="A31" s="44" t="s">
        <v>0</v>
      </c>
      <c r="B31" s="382" t="s">
        <v>37</v>
      </c>
      <c r="C31" s="54" t="s">
        <v>16</v>
      </c>
      <c r="D31" s="284"/>
      <c r="E31" s="284"/>
      <c r="F31" s="296"/>
      <c r="G31" s="284"/>
      <c r="H31" s="286"/>
      <c r="I31" s="284"/>
      <c r="J31" s="284"/>
      <c r="K31" s="284"/>
      <c r="L31" s="284"/>
      <c r="M31" s="285"/>
      <c r="N31" s="285"/>
      <c r="O31" s="284"/>
      <c r="P31" s="8"/>
    </row>
    <row r="32" spans="1:16" ht="19.5" customHeight="1">
      <c r="A32" s="44" t="s">
        <v>38</v>
      </c>
      <c r="B32" s="383"/>
      <c r="C32" s="48" t="s">
        <v>18</v>
      </c>
      <c r="D32" s="288"/>
      <c r="E32" s="288"/>
      <c r="F32" s="300"/>
      <c r="G32" s="288"/>
      <c r="H32" s="290"/>
      <c r="I32" s="288"/>
      <c r="J32" s="288"/>
      <c r="K32" s="288"/>
      <c r="L32" s="288"/>
      <c r="M32" s="289"/>
      <c r="N32" s="289"/>
      <c r="O32" s="288"/>
      <c r="P32" s="9"/>
    </row>
    <row r="33" spans="1:16" ht="19.5" customHeight="1">
      <c r="A33" s="44" t="s">
        <v>0</v>
      </c>
      <c r="B33" s="382" t="s">
        <v>39</v>
      </c>
      <c r="C33" s="54" t="s">
        <v>16</v>
      </c>
      <c r="D33" s="284"/>
      <c r="E33" s="284"/>
      <c r="F33" s="296"/>
      <c r="G33" s="284"/>
      <c r="H33" s="286"/>
      <c r="I33" s="284"/>
      <c r="J33" s="284"/>
      <c r="K33" s="284"/>
      <c r="L33" s="284"/>
      <c r="M33" s="285"/>
      <c r="N33" s="285"/>
      <c r="O33" s="284"/>
      <c r="P33" s="8"/>
    </row>
    <row r="34" spans="1:16" ht="19.5" customHeight="1">
      <c r="A34" s="44" t="s">
        <v>40</v>
      </c>
      <c r="B34" s="383"/>
      <c r="C34" s="48" t="s">
        <v>18</v>
      </c>
      <c r="D34" s="288"/>
      <c r="E34" s="288"/>
      <c r="F34" s="300"/>
      <c r="G34" s="288"/>
      <c r="H34" s="290"/>
      <c r="I34" s="288"/>
      <c r="J34" s="288"/>
      <c r="K34" s="288"/>
      <c r="L34" s="288"/>
      <c r="M34" s="289"/>
      <c r="N34" s="289"/>
      <c r="O34" s="288"/>
      <c r="P34" s="9"/>
    </row>
    <row r="35" spans="1:16" ht="19.5" customHeight="1">
      <c r="A35" s="50"/>
      <c r="B35" s="47" t="s">
        <v>20</v>
      </c>
      <c r="C35" s="54" t="s">
        <v>16</v>
      </c>
      <c r="D35" s="284"/>
      <c r="E35" s="284"/>
      <c r="F35" s="296"/>
      <c r="G35" s="284"/>
      <c r="H35" s="286"/>
      <c r="I35" s="284"/>
      <c r="J35" s="284"/>
      <c r="K35" s="284"/>
      <c r="L35" s="284"/>
      <c r="M35" s="285"/>
      <c r="N35" s="285"/>
      <c r="O35" s="284"/>
      <c r="P35" s="8"/>
    </row>
    <row r="36" spans="1:16" ht="19.5" customHeight="1">
      <c r="A36" s="44" t="s">
        <v>23</v>
      </c>
      <c r="B36" s="48" t="s">
        <v>111</v>
      </c>
      <c r="C36" s="48" t="s">
        <v>18</v>
      </c>
      <c r="D36" s="288"/>
      <c r="E36" s="288"/>
      <c r="F36" s="300"/>
      <c r="G36" s="288"/>
      <c r="H36" s="290"/>
      <c r="I36" s="288"/>
      <c r="J36" s="288"/>
      <c r="K36" s="288"/>
      <c r="L36" s="288"/>
      <c r="M36" s="289"/>
      <c r="N36" s="289"/>
      <c r="O36" s="288"/>
      <c r="P36" s="9"/>
    </row>
    <row r="37" spans="1:16" ht="19.5" customHeight="1">
      <c r="A37" s="50"/>
      <c r="B37" s="380" t="s">
        <v>107</v>
      </c>
      <c r="C37" s="54" t="s">
        <v>16</v>
      </c>
      <c r="D37" s="26"/>
      <c r="E37" s="26"/>
      <c r="F37" s="26"/>
      <c r="G37" s="26"/>
      <c r="H37" s="26"/>
      <c r="I37" s="26"/>
      <c r="J37" s="26"/>
      <c r="K37" s="26"/>
      <c r="L37" s="28"/>
      <c r="M37" s="28"/>
      <c r="N37" s="28"/>
      <c r="O37" s="28"/>
      <c r="P37" s="8"/>
    </row>
    <row r="38" spans="1:16" ht="19.5" customHeight="1">
      <c r="A38" s="49"/>
      <c r="B38" s="381"/>
      <c r="C38" s="48" t="s">
        <v>18</v>
      </c>
      <c r="D38" s="25"/>
      <c r="E38" s="25"/>
      <c r="F38" s="25"/>
      <c r="G38" s="25"/>
      <c r="H38" s="25"/>
      <c r="I38" s="25"/>
      <c r="J38" s="25"/>
      <c r="K38" s="25"/>
      <c r="L38" s="86"/>
      <c r="M38" s="86"/>
      <c r="N38" s="86"/>
      <c r="O38" s="86"/>
      <c r="P38" s="9"/>
    </row>
    <row r="39" spans="1:16" ht="19.5" customHeight="1">
      <c r="A39" s="376" t="s">
        <v>41</v>
      </c>
      <c r="B39" s="377"/>
      <c r="C39" s="54" t="s">
        <v>16</v>
      </c>
      <c r="D39" s="284"/>
      <c r="E39" s="284"/>
      <c r="F39" s="296"/>
      <c r="G39" s="284"/>
      <c r="H39" s="286"/>
      <c r="I39" s="284"/>
      <c r="J39" s="284"/>
      <c r="K39" s="284"/>
      <c r="L39" s="284"/>
      <c r="M39" s="285"/>
      <c r="N39" s="285"/>
      <c r="O39" s="284"/>
      <c r="P39" s="8"/>
    </row>
    <row r="40" spans="1:16" ht="19.5" customHeight="1">
      <c r="A40" s="378"/>
      <c r="B40" s="379"/>
      <c r="C40" s="48" t="s">
        <v>18</v>
      </c>
      <c r="D40" s="288"/>
      <c r="E40" s="288"/>
      <c r="F40" s="300"/>
      <c r="G40" s="288"/>
      <c r="H40" s="290"/>
      <c r="I40" s="288"/>
      <c r="J40" s="288"/>
      <c r="K40" s="288"/>
      <c r="L40" s="288"/>
      <c r="M40" s="289"/>
      <c r="N40" s="289"/>
      <c r="O40" s="288"/>
      <c r="P40" s="9"/>
    </row>
    <row r="41" spans="1:16" ht="19.5" customHeight="1">
      <c r="A41" s="376" t="s">
        <v>42</v>
      </c>
      <c r="B41" s="377"/>
      <c r="C41" s="54" t="s">
        <v>16</v>
      </c>
      <c r="D41" s="284"/>
      <c r="E41" s="284"/>
      <c r="F41" s="296"/>
      <c r="G41" s="284"/>
      <c r="H41" s="286"/>
      <c r="I41" s="284"/>
      <c r="J41" s="284"/>
      <c r="K41" s="284"/>
      <c r="L41" s="284"/>
      <c r="M41" s="285"/>
      <c r="N41" s="285"/>
      <c r="O41" s="284"/>
      <c r="P41" s="8"/>
    </row>
    <row r="42" spans="1:16" ht="19.5" customHeight="1">
      <c r="A42" s="378"/>
      <c r="B42" s="379"/>
      <c r="C42" s="48" t="s">
        <v>18</v>
      </c>
      <c r="D42" s="288"/>
      <c r="E42" s="288"/>
      <c r="F42" s="300"/>
      <c r="G42" s="288"/>
      <c r="H42" s="290"/>
      <c r="I42" s="288"/>
      <c r="J42" s="288"/>
      <c r="K42" s="288"/>
      <c r="L42" s="288"/>
      <c r="M42" s="289"/>
      <c r="N42" s="289"/>
      <c r="O42" s="288"/>
      <c r="P42" s="9"/>
    </row>
    <row r="43" spans="1:16" ht="19.5" customHeight="1">
      <c r="A43" s="376" t="s">
        <v>43</v>
      </c>
      <c r="B43" s="377"/>
      <c r="C43" s="54" t="s">
        <v>16</v>
      </c>
      <c r="D43" s="284"/>
      <c r="E43" s="284"/>
      <c r="F43" s="296"/>
      <c r="G43" s="284"/>
      <c r="H43" s="286"/>
      <c r="I43" s="284"/>
      <c r="J43" s="284"/>
      <c r="K43" s="284"/>
      <c r="L43" s="284"/>
      <c r="M43" s="285"/>
      <c r="N43" s="285"/>
      <c r="O43" s="284"/>
      <c r="P43" s="8"/>
    </row>
    <row r="44" spans="1:16" ht="19.5" customHeight="1">
      <c r="A44" s="378"/>
      <c r="B44" s="379"/>
      <c r="C44" s="48" t="s">
        <v>18</v>
      </c>
      <c r="D44" s="288"/>
      <c r="E44" s="288"/>
      <c r="F44" s="300"/>
      <c r="G44" s="302"/>
      <c r="H44" s="290"/>
      <c r="I44" s="288"/>
      <c r="J44" s="288"/>
      <c r="K44" s="288"/>
      <c r="L44" s="288"/>
      <c r="M44" s="289"/>
      <c r="N44" s="289"/>
      <c r="O44" s="288"/>
      <c r="P44" s="9"/>
    </row>
    <row r="45" spans="1:16" ht="19.5" customHeight="1">
      <c r="A45" s="376" t="s">
        <v>44</v>
      </c>
      <c r="B45" s="377"/>
      <c r="C45" s="54" t="s">
        <v>16</v>
      </c>
      <c r="D45" s="284"/>
      <c r="E45" s="284"/>
      <c r="F45" s="296"/>
      <c r="G45" s="309"/>
      <c r="H45" s="286"/>
      <c r="I45" s="284"/>
      <c r="J45" s="284"/>
      <c r="K45" s="284"/>
      <c r="L45" s="284"/>
      <c r="M45" s="285"/>
      <c r="N45" s="285"/>
      <c r="O45" s="284"/>
      <c r="P45" s="8"/>
    </row>
    <row r="46" spans="1:16" ht="19.5" customHeight="1">
      <c r="A46" s="378"/>
      <c r="B46" s="379"/>
      <c r="C46" s="48" t="s">
        <v>18</v>
      </c>
      <c r="D46" s="288"/>
      <c r="E46" s="288"/>
      <c r="F46" s="300"/>
      <c r="G46" s="288"/>
      <c r="H46" s="290"/>
      <c r="I46" s="288"/>
      <c r="J46" s="288"/>
      <c r="K46" s="288"/>
      <c r="L46" s="288"/>
      <c r="M46" s="289"/>
      <c r="N46" s="289"/>
      <c r="O46" s="288"/>
      <c r="P46" s="9"/>
    </row>
    <row r="47" spans="1:16" ht="19.5" customHeight="1">
      <c r="A47" s="376" t="s">
        <v>45</v>
      </c>
      <c r="B47" s="377"/>
      <c r="C47" s="54" t="s">
        <v>16</v>
      </c>
      <c r="D47" s="284"/>
      <c r="E47" s="284"/>
      <c r="F47" s="296"/>
      <c r="G47" s="284"/>
      <c r="H47" s="286"/>
      <c r="I47" s="284"/>
      <c r="J47" s="284"/>
      <c r="K47" s="284"/>
      <c r="L47" s="284"/>
      <c r="M47" s="285"/>
      <c r="N47" s="285"/>
      <c r="O47" s="284"/>
      <c r="P47" s="8"/>
    </row>
    <row r="48" spans="1:16" ht="19.5" customHeight="1">
      <c r="A48" s="378"/>
      <c r="B48" s="379"/>
      <c r="C48" s="48" t="s">
        <v>18</v>
      </c>
      <c r="D48" s="288"/>
      <c r="E48" s="288"/>
      <c r="F48" s="300"/>
      <c r="G48" s="288"/>
      <c r="H48" s="290"/>
      <c r="I48" s="288"/>
      <c r="J48" s="288"/>
      <c r="K48" s="288"/>
      <c r="L48" s="288"/>
      <c r="M48" s="289"/>
      <c r="N48" s="289"/>
      <c r="O48" s="288"/>
      <c r="P48" s="9"/>
    </row>
    <row r="49" spans="1:16" ht="19.5" customHeight="1">
      <c r="A49" s="376" t="s">
        <v>46</v>
      </c>
      <c r="B49" s="377"/>
      <c r="C49" s="54" t="s">
        <v>16</v>
      </c>
      <c r="D49" s="284"/>
      <c r="E49" s="284"/>
      <c r="F49" s="296"/>
      <c r="G49" s="284"/>
      <c r="H49" s="286"/>
      <c r="I49" s="284"/>
      <c r="J49" s="284"/>
      <c r="K49" s="284"/>
      <c r="L49" s="284"/>
      <c r="M49" s="285"/>
      <c r="N49" s="285"/>
      <c r="O49" s="284"/>
      <c r="P49" s="8"/>
    </row>
    <row r="50" spans="1:16" ht="19.5" customHeight="1">
      <c r="A50" s="378"/>
      <c r="B50" s="379"/>
      <c r="C50" s="48" t="s">
        <v>18</v>
      </c>
      <c r="D50" s="288"/>
      <c r="E50" s="288"/>
      <c r="F50" s="300"/>
      <c r="G50" s="288"/>
      <c r="H50" s="290"/>
      <c r="I50" s="288"/>
      <c r="J50" s="288"/>
      <c r="K50" s="288"/>
      <c r="L50" s="288"/>
      <c r="M50" s="289"/>
      <c r="N50" s="289"/>
      <c r="O50" s="288"/>
      <c r="P50" s="9"/>
    </row>
    <row r="51" spans="1:16" ht="19.5" customHeight="1">
      <c r="A51" s="376" t="s">
        <v>47</v>
      </c>
      <c r="B51" s="377"/>
      <c r="C51" s="54" t="s">
        <v>16</v>
      </c>
      <c r="D51" s="284"/>
      <c r="E51" s="284"/>
      <c r="F51" s="296"/>
      <c r="G51" s="284"/>
      <c r="H51" s="286"/>
      <c r="I51" s="284"/>
      <c r="J51" s="284"/>
      <c r="K51" s="284"/>
      <c r="L51" s="284"/>
      <c r="M51" s="285"/>
      <c r="N51" s="285"/>
      <c r="O51" s="284"/>
      <c r="P51" s="8"/>
    </row>
    <row r="52" spans="1:16" ht="19.5" customHeight="1">
      <c r="A52" s="378"/>
      <c r="B52" s="379"/>
      <c r="C52" s="48" t="s">
        <v>18</v>
      </c>
      <c r="D52" s="288"/>
      <c r="E52" s="288"/>
      <c r="F52" s="300"/>
      <c r="G52" s="288"/>
      <c r="H52" s="290"/>
      <c r="I52" s="288"/>
      <c r="J52" s="288"/>
      <c r="K52" s="288"/>
      <c r="L52" s="288"/>
      <c r="M52" s="289"/>
      <c r="N52" s="289"/>
      <c r="O52" s="288"/>
      <c r="P52" s="9"/>
    </row>
    <row r="53" spans="1:16" ht="19.5" customHeight="1">
      <c r="A53" s="376" t="s">
        <v>48</v>
      </c>
      <c r="B53" s="377"/>
      <c r="C53" s="54" t="s">
        <v>16</v>
      </c>
      <c r="D53" s="284"/>
      <c r="E53" s="284"/>
      <c r="F53" s="296"/>
      <c r="G53" s="284"/>
      <c r="H53" s="286"/>
      <c r="I53" s="284"/>
      <c r="J53" s="284"/>
      <c r="K53" s="284"/>
      <c r="L53" s="284"/>
      <c r="M53" s="285"/>
      <c r="N53" s="285"/>
      <c r="O53" s="284"/>
      <c r="P53" s="8"/>
    </row>
    <row r="54" spans="1:16" ht="19.5" customHeight="1">
      <c r="A54" s="378"/>
      <c r="B54" s="379"/>
      <c r="C54" s="48" t="s">
        <v>18</v>
      </c>
      <c r="D54" s="288"/>
      <c r="E54" s="288"/>
      <c r="F54" s="300"/>
      <c r="G54" s="288"/>
      <c r="H54" s="290"/>
      <c r="I54" s="288"/>
      <c r="J54" s="288"/>
      <c r="K54" s="288"/>
      <c r="L54" s="288"/>
      <c r="M54" s="289"/>
      <c r="N54" s="289"/>
      <c r="O54" s="288"/>
      <c r="P54" s="9"/>
    </row>
    <row r="55" spans="1:16" ht="19.5" customHeight="1">
      <c r="A55" s="44" t="s">
        <v>0</v>
      </c>
      <c r="B55" s="382" t="s">
        <v>132</v>
      </c>
      <c r="C55" s="54" t="s">
        <v>16</v>
      </c>
      <c r="D55" s="284"/>
      <c r="E55" s="284"/>
      <c r="F55" s="296"/>
      <c r="G55" s="284"/>
      <c r="H55" s="286"/>
      <c r="I55" s="284"/>
      <c r="J55" s="284"/>
      <c r="K55" s="284"/>
      <c r="L55" s="284"/>
      <c r="M55" s="285"/>
      <c r="N55" s="285"/>
      <c r="O55" s="284"/>
      <c r="P55" s="8"/>
    </row>
    <row r="56" spans="1:16" ht="19.5" customHeight="1">
      <c r="A56" s="44" t="s">
        <v>38</v>
      </c>
      <c r="B56" s="383"/>
      <c r="C56" s="48" t="s">
        <v>18</v>
      </c>
      <c r="D56" s="288"/>
      <c r="E56" s="288"/>
      <c r="F56" s="300"/>
      <c r="G56" s="288"/>
      <c r="H56" s="290"/>
      <c r="I56" s="288"/>
      <c r="J56" s="288"/>
      <c r="K56" s="288"/>
      <c r="L56" s="288"/>
      <c r="M56" s="289"/>
      <c r="N56" s="289"/>
      <c r="O56" s="288"/>
      <c r="P56" s="9"/>
    </row>
    <row r="57" spans="1:16" ht="19.5" customHeight="1">
      <c r="A57" s="44" t="s">
        <v>17</v>
      </c>
      <c r="B57" s="47" t="s">
        <v>20</v>
      </c>
      <c r="C57" s="54" t="s">
        <v>16</v>
      </c>
      <c r="D57" s="284"/>
      <c r="E57" s="284"/>
      <c r="F57" s="296"/>
      <c r="G57" s="284"/>
      <c r="H57" s="286"/>
      <c r="I57" s="284"/>
      <c r="J57" s="284"/>
      <c r="K57" s="284"/>
      <c r="L57" s="284"/>
      <c r="M57" s="285"/>
      <c r="N57" s="285"/>
      <c r="O57" s="284"/>
      <c r="P57" s="8"/>
    </row>
    <row r="58" spans="1:16" ht="19.5" customHeight="1">
      <c r="A58" s="44" t="s">
        <v>23</v>
      </c>
      <c r="B58" s="48" t="s">
        <v>113</v>
      </c>
      <c r="C58" s="48" t="s">
        <v>18</v>
      </c>
      <c r="D58" s="288"/>
      <c r="E58" s="288"/>
      <c r="F58" s="300"/>
      <c r="G58" s="288"/>
      <c r="H58" s="290"/>
      <c r="I58" s="288"/>
      <c r="J58" s="288"/>
      <c r="K58" s="288"/>
      <c r="L58" s="288"/>
      <c r="M58" s="289"/>
      <c r="N58" s="289"/>
      <c r="O58" s="288"/>
      <c r="P58" s="9"/>
    </row>
    <row r="59" spans="1:16" ht="19.5" customHeight="1">
      <c r="A59" s="50"/>
      <c r="B59" s="380" t="s">
        <v>107</v>
      </c>
      <c r="C59" s="54" t="s">
        <v>16</v>
      </c>
      <c r="D59" s="26"/>
      <c r="E59" s="26"/>
      <c r="F59" s="26"/>
      <c r="G59" s="26"/>
      <c r="H59" s="26"/>
      <c r="I59" s="26"/>
      <c r="J59" s="26"/>
      <c r="K59" s="26"/>
      <c r="L59" s="28"/>
      <c r="M59" s="28"/>
      <c r="N59" s="28"/>
      <c r="O59" s="28"/>
      <c r="P59" s="8"/>
    </row>
    <row r="60" spans="1:16" ht="19.5" customHeight="1">
      <c r="A60" s="49"/>
      <c r="B60" s="381"/>
      <c r="C60" s="48" t="s">
        <v>18</v>
      </c>
      <c r="D60" s="25"/>
      <c r="E60" s="25"/>
      <c r="F60" s="25"/>
      <c r="G60" s="25"/>
      <c r="H60" s="25"/>
      <c r="I60" s="25"/>
      <c r="J60" s="25"/>
      <c r="K60" s="25"/>
      <c r="L60" s="86"/>
      <c r="M60" s="86"/>
      <c r="N60" s="86"/>
      <c r="O60" s="86"/>
      <c r="P60" s="9"/>
    </row>
    <row r="61" spans="1:16" ht="19.5" customHeight="1">
      <c r="A61" s="44" t="s">
        <v>0</v>
      </c>
      <c r="B61" s="382" t="s">
        <v>115</v>
      </c>
      <c r="C61" s="54" t="s">
        <v>16</v>
      </c>
      <c r="D61" s="284"/>
      <c r="E61" s="284"/>
      <c r="F61" s="296"/>
      <c r="G61" s="284"/>
      <c r="H61" s="286"/>
      <c r="I61" s="284"/>
      <c r="J61" s="284"/>
      <c r="K61" s="284"/>
      <c r="L61" s="284"/>
      <c r="M61" s="285"/>
      <c r="N61" s="285"/>
      <c r="O61" s="284"/>
      <c r="P61" s="8"/>
    </row>
    <row r="62" spans="1:16" ht="19.5" customHeight="1">
      <c r="A62" s="44" t="s">
        <v>49</v>
      </c>
      <c r="B62" s="383"/>
      <c r="C62" s="48" t="s">
        <v>18</v>
      </c>
      <c r="D62" s="288"/>
      <c r="E62" s="288"/>
      <c r="F62" s="300"/>
      <c r="G62" s="288"/>
      <c r="H62" s="290"/>
      <c r="I62" s="288"/>
      <c r="J62" s="288"/>
      <c r="K62" s="288"/>
      <c r="L62" s="288"/>
      <c r="M62" s="289"/>
      <c r="N62" s="289"/>
      <c r="O62" s="288"/>
      <c r="P62" s="9"/>
    </row>
    <row r="63" spans="1:16" ht="19.5" customHeight="1">
      <c r="A63" s="44" t="s">
        <v>0</v>
      </c>
      <c r="B63" s="47" t="s">
        <v>50</v>
      </c>
      <c r="C63" s="54" t="s">
        <v>16</v>
      </c>
      <c r="D63" s="284"/>
      <c r="E63" s="284"/>
      <c r="F63" s="296"/>
      <c r="G63" s="284"/>
      <c r="H63" s="286"/>
      <c r="I63" s="284"/>
      <c r="J63" s="284"/>
      <c r="K63" s="284"/>
      <c r="L63" s="284"/>
      <c r="M63" s="285"/>
      <c r="N63" s="285"/>
      <c r="O63" s="284"/>
      <c r="P63" s="8"/>
    </row>
    <row r="64" spans="1:16" ht="19.5" customHeight="1">
      <c r="A64" s="44" t="s">
        <v>51</v>
      </c>
      <c r="B64" s="48" t="s">
        <v>116</v>
      </c>
      <c r="C64" s="48" t="s">
        <v>18</v>
      </c>
      <c r="D64" s="288"/>
      <c r="E64" s="288"/>
      <c r="F64" s="300"/>
      <c r="G64" s="288"/>
      <c r="H64" s="290"/>
      <c r="I64" s="288"/>
      <c r="J64" s="288"/>
      <c r="K64" s="288"/>
      <c r="L64" s="288"/>
      <c r="M64" s="289"/>
      <c r="N64" s="289"/>
      <c r="O64" s="288"/>
      <c r="P64" s="9"/>
    </row>
    <row r="65" spans="1:16" ht="19.5" customHeight="1">
      <c r="A65" s="44" t="s">
        <v>0</v>
      </c>
      <c r="B65" s="382" t="s">
        <v>53</v>
      </c>
      <c r="C65" s="54" t="s">
        <v>16</v>
      </c>
      <c r="D65" s="284"/>
      <c r="E65" s="284"/>
      <c r="F65" s="296"/>
      <c r="G65" s="284"/>
      <c r="H65" s="286"/>
      <c r="I65" s="284"/>
      <c r="J65" s="284"/>
      <c r="K65" s="284"/>
      <c r="L65" s="284"/>
      <c r="M65" s="285"/>
      <c r="N65" s="285"/>
      <c r="O65" s="284"/>
      <c r="P65" s="8"/>
    </row>
    <row r="66" spans="1:16" ht="19.5" customHeight="1">
      <c r="A66" s="44" t="s">
        <v>23</v>
      </c>
      <c r="B66" s="383"/>
      <c r="C66" s="48" t="s">
        <v>18</v>
      </c>
      <c r="D66" s="288"/>
      <c r="E66" s="288"/>
      <c r="F66" s="300"/>
      <c r="G66" s="288"/>
      <c r="H66" s="290"/>
      <c r="I66" s="288"/>
      <c r="J66" s="288"/>
      <c r="K66" s="288"/>
      <c r="L66" s="288"/>
      <c r="M66" s="289"/>
      <c r="N66" s="289"/>
      <c r="O66" s="288"/>
      <c r="P66" s="9"/>
    </row>
    <row r="67" spans="1:16" ht="19.5" customHeight="1">
      <c r="A67" s="50"/>
      <c r="B67" s="47" t="s">
        <v>20</v>
      </c>
      <c r="C67" s="54" t="s">
        <v>16</v>
      </c>
      <c r="D67" s="284"/>
      <c r="E67" s="284"/>
      <c r="F67" s="296"/>
      <c r="G67" s="284"/>
      <c r="H67" s="286"/>
      <c r="I67" s="284"/>
      <c r="J67" s="284"/>
      <c r="K67" s="284"/>
      <c r="L67" s="284"/>
      <c r="M67" s="285"/>
      <c r="N67" s="285"/>
      <c r="O67" s="284"/>
      <c r="P67" s="8"/>
    </row>
    <row r="68" spans="1:16" ht="19.5" customHeight="1" thickBot="1">
      <c r="A68" s="51" t="s">
        <v>0</v>
      </c>
      <c r="B68" s="52" t="s">
        <v>116</v>
      </c>
      <c r="C68" s="52" t="s">
        <v>18</v>
      </c>
      <c r="D68" s="291"/>
      <c r="E68" s="291"/>
      <c r="F68" s="310"/>
      <c r="G68" s="291"/>
      <c r="H68" s="311"/>
      <c r="I68" s="291"/>
      <c r="J68" s="291"/>
      <c r="K68" s="291"/>
      <c r="L68" s="291"/>
      <c r="M68" s="294"/>
      <c r="N68" s="294"/>
      <c r="O68" s="291"/>
      <c r="P68" s="10"/>
    </row>
    <row r="69" spans="4:16" ht="19.5" customHeight="1">
      <c r="D69" s="268"/>
      <c r="E69" s="268"/>
      <c r="F69" s="270"/>
      <c r="G69" s="268"/>
      <c r="H69" s="268"/>
      <c r="I69" s="268"/>
      <c r="J69" s="268"/>
      <c r="K69" s="268"/>
      <c r="L69" s="268"/>
      <c r="M69" s="269"/>
      <c r="N69" s="269"/>
      <c r="O69" s="268"/>
      <c r="P69" s="11"/>
    </row>
    <row r="70" spans="4:16" ht="19.5" customHeight="1">
      <c r="D70" s="268"/>
      <c r="E70" s="268"/>
      <c r="F70" s="270"/>
      <c r="G70" s="268"/>
      <c r="H70" s="268"/>
      <c r="I70" s="268"/>
      <c r="J70" s="268"/>
      <c r="K70" s="268"/>
      <c r="L70" s="268"/>
      <c r="M70" s="269"/>
      <c r="N70" s="269"/>
      <c r="O70" s="268"/>
      <c r="P70" s="11"/>
    </row>
    <row r="71" spans="4:16" ht="19.5" customHeight="1">
      <c r="D71" s="268"/>
      <c r="E71" s="268"/>
      <c r="F71" s="270"/>
      <c r="G71" s="268"/>
      <c r="H71" s="268"/>
      <c r="I71" s="268"/>
      <c r="J71" s="268"/>
      <c r="K71" s="268"/>
      <c r="L71" s="268"/>
      <c r="M71" s="269"/>
      <c r="N71" s="269"/>
      <c r="O71" s="268"/>
      <c r="P71" s="11"/>
    </row>
    <row r="72" spans="4:16" ht="19.5" customHeight="1">
      <c r="D72" s="268"/>
      <c r="E72" s="268"/>
      <c r="F72" s="270"/>
      <c r="G72" s="268"/>
      <c r="H72" s="268"/>
      <c r="I72" s="268"/>
      <c r="J72" s="268"/>
      <c r="K72" s="268"/>
      <c r="L72" s="268"/>
      <c r="M72" s="269"/>
      <c r="N72" s="269"/>
      <c r="O72" s="268"/>
      <c r="P72" s="11"/>
    </row>
    <row r="73" spans="4:16" ht="19.5" customHeight="1">
      <c r="D73" s="268"/>
      <c r="E73" s="268"/>
      <c r="F73" s="270"/>
      <c r="G73" s="268"/>
      <c r="H73" s="268"/>
      <c r="I73" s="268"/>
      <c r="J73" s="268"/>
      <c r="K73" s="268"/>
      <c r="L73" s="268"/>
      <c r="M73" s="269"/>
      <c r="N73" s="269"/>
      <c r="O73" s="268"/>
      <c r="P73" s="11"/>
    </row>
    <row r="74" spans="1:16" ht="19.5" customHeight="1" thickBot="1">
      <c r="A74" s="12" t="s">
        <v>84</v>
      </c>
      <c r="B74" s="39"/>
      <c r="C74" s="12"/>
      <c r="D74" s="271"/>
      <c r="E74" s="271"/>
      <c r="F74" s="272"/>
      <c r="G74" s="271"/>
      <c r="H74" s="271"/>
      <c r="I74" s="271"/>
      <c r="J74" s="271"/>
      <c r="K74" s="271"/>
      <c r="L74" s="271"/>
      <c r="M74" s="273"/>
      <c r="N74" s="273"/>
      <c r="O74" s="271"/>
      <c r="P74" s="12"/>
    </row>
    <row r="75" spans="1:16" ht="19.5" customHeight="1">
      <c r="A75" s="49"/>
      <c r="B75" s="53"/>
      <c r="C75" s="53"/>
      <c r="D75" s="313" t="s">
        <v>219</v>
      </c>
      <c r="E75" s="313" t="s">
        <v>219</v>
      </c>
      <c r="F75" s="348" t="s">
        <v>219</v>
      </c>
      <c r="G75" s="315" t="s">
        <v>219</v>
      </c>
      <c r="H75" s="313" t="s">
        <v>219</v>
      </c>
      <c r="I75" s="313" t="s">
        <v>219</v>
      </c>
      <c r="J75" s="313" t="s">
        <v>219</v>
      </c>
      <c r="K75" s="313" t="s">
        <v>219</v>
      </c>
      <c r="L75" s="313" t="s">
        <v>219</v>
      </c>
      <c r="M75" s="317" t="s">
        <v>219</v>
      </c>
      <c r="N75" s="317" t="s">
        <v>219</v>
      </c>
      <c r="O75" s="313" t="s">
        <v>219</v>
      </c>
      <c r="P75" s="43" t="s">
        <v>14</v>
      </c>
    </row>
    <row r="76" spans="1:16" ht="19.5" customHeight="1">
      <c r="A76" s="44" t="s">
        <v>49</v>
      </c>
      <c r="B76" s="380" t="s">
        <v>114</v>
      </c>
      <c r="C76" s="54" t="s">
        <v>16</v>
      </c>
      <c r="D76" s="26"/>
      <c r="E76" s="26"/>
      <c r="F76" s="26"/>
      <c r="G76" s="26"/>
      <c r="H76" s="26"/>
      <c r="I76" s="26"/>
      <c r="J76" s="26"/>
      <c r="K76" s="26"/>
      <c r="L76" s="28"/>
      <c r="M76" s="28"/>
      <c r="N76" s="28"/>
      <c r="O76" s="28"/>
      <c r="P76" s="8"/>
    </row>
    <row r="77" spans="1:16" ht="19.5" customHeight="1">
      <c r="A77" s="69" t="s">
        <v>51</v>
      </c>
      <c r="B77" s="381"/>
      <c r="C77" s="48" t="s">
        <v>18</v>
      </c>
      <c r="D77" s="25"/>
      <c r="E77" s="25"/>
      <c r="F77" s="25"/>
      <c r="G77" s="25"/>
      <c r="H77" s="25"/>
      <c r="I77" s="25"/>
      <c r="J77" s="25"/>
      <c r="K77" s="25"/>
      <c r="L77" s="86"/>
      <c r="M77" s="349"/>
      <c r="N77" s="86"/>
      <c r="O77" s="86"/>
      <c r="P77" s="9"/>
    </row>
    <row r="78" spans="1:16" ht="19.5" customHeight="1">
      <c r="A78" s="44" t="s">
        <v>0</v>
      </c>
      <c r="B78" s="382" t="s">
        <v>54</v>
      </c>
      <c r="C78" s="54" t="s">
        <v>16</v>
      </c>
      <c r="D78" s="284"/>
      <c r="E78" s="284"/>
      <c r="F78" s="296"/>
      <c r="G78" s="284"/>
      <c r="H78" s="286"/>
      <c r="I78" s="284"/>
      <c r="J78" s="284"/>
      <c r="K78" s="284"/>
      <c r="L78" s="284"/>
      <c r="M78" s="285"/>
      <c r="N78" s="285"/>
      <c r="O78" s="284"/>
      <c r="P78" s="8"/>
    </row>
    <row r="79" spans="1:16" ht="19.5" customHeight="1">
      <c r="A79" s="44" t="s">
        <v>34</v>
      </c>
      <c r="B79" s="383"/>
      <c r="C79" s="48" t="s">
        <v>18</v>
      </c>
      <c r="D79" s="288"/>
      <c r="E79" s="288"/>
      <c r="F79" s="300"/>
      <c r="G79" s="288"/>
      <c r="H79" s="290"/>
      <c r="I79" s="288"/>
      <c r="J79" s="288"/>
      <c r="K79" s="288"/>
      <c r="L79" s="288"/>
      <c r="M79" s="289"/>
      <c r="N79" s="289"/>
      <c r="O79" s="288"/>
      <c r="P79" s="9"/>
    </row>
    <row r="80" spans="1:16" ht="19.5" customHeight="1">
      <c r="A80" s="44" t="s">
        <v>0</v>
      </c>
      <c r="B80" s="382" t="s">
        <v>55</v>
      </c>
      <c r="C80" s="54" t="s">
        <v>16</v>
      </c>
      <c r="D80" s="284"/>
      <c r="E80" s="284"/>
      <c r="F80" s="296"/>
      <c r="G80" s="284"/>
      <c r="H80" s="286"/>
      <c r="I80" s="284"/>
      <c r="J80" s="284"/>
      <c r="K80" s="284"/>
      <c r="L80" s="284"/>
      <c r="M80" s="285"/>
      <c r="N80" s="285"/>
      <c r="O80" s="284"/>
      <c r="P80" s="8"/>
    </row>
    <row r="81" spans="1:16" ht="19.5" customHeight="1">
      <c r="A81" s="44" t="s">
        <v>0</v>
      </c>
      <c r="B81" s="383"/>
      <c r="C81" s="48" t="s">
        <v>18</v>
      </c>
      <c r="D81" s="288"/>
      <c r="E81" s="288"/>
      <c r="F81" s="300"/>
      <c r="G81" s="288"/>
      <c r="H81" s="290"/>
      <c r="I81" s="288"/>
      <c r="J81" s="288"/>
      <c r="K81" s="288"/>
      <c r="L81" s="288"/>
      <c r="M81" s="289"/>
      <c r="N81" s="289"/>
      <c r="O81" s="288"/>
      <c r="P81" s="9"/>
    </row>
    <row r="82" spans="1:16" ht="19.5" customHeight="1">
      <c r="A82" s="44" t="s">
        <v>56</v>
      </c>
      <c r="B82" s="47" t="s">
        <v>57</v>
      </c>
      <c r="C82" s="54" t="s">
        <v>16</v>
      </c>
      <c r="D82" s="284"/>
      <c r="E82" s="284"/>
      <c r="F82" s="296"/>
      <c r="G82" s="284"/>
      <c r="H82" s="286"/>
      <c r="I82" s="284"/>
      <c r="J82" s="284"/>
      <c r="K82" s="284"/>
      <c r="L82" s="284"/>
      <c r="M82" s="285"/>
      <c r="N82" s="285"/>
      <c r="O82" s="284"/>
      <c r="P82" s="8"/>
    </row>
    <row r="83" spans="1:16" ht="19.5" customHeight="1">
      <c r="A83" s="50"/>
      <c r="B83" s="48" t="s">
        <v>58</v>
      </c>
      <c r="C83" s="48" t="s">
        <v>18</v>
      </c>
      <c r="D83" s="288"/>
      <c r="E83" s="288"/>
      <c r="F83" s="300"/>
      <c r="G83" s="288"/>
      <c r="H83" s="290"/>
      <c r="I83" s="288"/>
      <c r="J83" s="288"/>
      <c r="K83" s="288"/>
      <c r="L83" s="288"/>
      <c r="M83" s="289"/>
      <c r="N83" s="289"/>
      <c r="O83" s="288"/>
      <c r="P83" s="9"/>
    </row>
    <row r="84" spans="1:16" ht="19.5" customHeight="1">
      <c r="A84" s="50"/>
      <c r="B84" s="382" t="s">
        <v>59</v>
      </c>
      <c r="C84" s="54" t="s">
        <v>16</v>
      </c>
      <c r="D84" s="284"/>
      <c r="E84" s="284"/>
      <c r="F84" s="296"/>
      <c r="G84" s="284"/>
      <c r="H84" s="286"/>
      <c r="I84" s="284"/>
      <c r="J84" s="284"/>
      <c r="K84" s="284"/>
      <c r="L84" s="284"/>
      <c r="M84" s="285"/>
      <c r="N84" s="285"/>
      <c r="O84" s="284"/>
      <c r="P84" s="8"/>
    </row>
    <row r="85" spans="1:16" ht="19.5" customHeight="1">
      <c r="A85" s="44" t="s">
        <v>17</v>
      </c>
      <c r="B85" s="383"/>
      <c r="C85" s="48" t="s">
        <v>18</v>
      </c>
      <c r="D85" s="288"/>
      <c r="E85" s="288"/>
      <c r="F85" s="300"/>
      <c r="G85" s="288"/>
      <c r="H85" s="290"/>
      <c r="I85" s="288"/>
      <c r="J85" s="288"/>
      <c r="K85" s="288"/>
      <c r="L85" s="288"/>
      <c r="M85" s="289"/>
      <c r="N85" s="289"/>
      <c r="O85" s="288"/>
      <c r="P85" s="9"/>
    </row>
    <row r="86" spans="1:16" ht="19.5" customHeight="1">
      <c r="A86" s="50"/>
      <c r="B86" s="47" t="s">
        <v>20</v>
      </c>
      <c r="C86" s="54" t="s">
        <v>16</v>
      </c>
      <c r="D86" s="284"/>
      <c r="E86" s="284"/>
      <c r="F86" s="296"/>
      <c r="G86" s="284"/>
      <c r="H86" s="286"/>
      <c r="I86" s="284"/>
      <c r="J86" s="284"/>
      <c r="K86" s="284"/>
      <c r="L86" s="284"/>
      <c r="M86" s="285"/>
      <c r="N86" s="285"/>
      <c r="O86" s="284"/>
      <c r="P86" s="8"/>
    </row>
    <row r="87" spans="1:16" ht="19.5" customHeight="1">
      <c r="A87" s="50"/>
      <c r="B87" s="48" t="s">
        <v>60</v>
      </c>
      <c r="C87" s="48" t="s">
        <v>18</v>
      </c>
      <c r="D87" s="288"/>
      <c r="E87" s="288"/>
      <c r="F87" s="300"/>
      <c r="G87" s="288"/>
      <c r="H87" s="290"/>
      <c r="I87" s="288"/>
      <c r="J87" s="288"/>
      <c r="K87" s="288"/>
      <c r="L87" s="288"/>
      <c r="M87" s="289"/>
      <c r="N87" s="289"/>
      <c r="O87" s="288"/>
      <c r="P87" s="9"/>
    </row>
    <row r="88" spans="1:16" ht="19.5" customHeight="1">
      <c r="A88" s="44" t="s">
        <v>23</v>
      </c>
      <c r="B88" s="380" t="s">
        <v>114</v>
      </c>
      <c r="C88" s="54" t="s">
        <v>16</v>
      </c>
      <c r="D88" s="26"/>
      <c r="E88" s="26"/>
      <c r="F88" s="26"/>
      <c r="G88" s="26"/>
      <c r="H88" s="26"/>
      <c r="I88" s="26"/>
      <c r="J88" s="26"/>
      <c r="K88" s="26"/>
      <c r="L88" s="28"/>
      <c r="M88" s="28"/>
      <c r="N88" s="28"/>
      <c r="O88" s="28"/>
      <c r="P88" s="8"/>
    </row>
    <row r="89" spans="1:16" ht="19.5" customHeight="1">
      <c r="A89" s="49"/>
      <c r="B89" s="381"/>
      <c r="C89" s="48" t="s">
        <v>18</v>
      </c>
      <c r="D89" s="25"/>
      <c r="E89" s="25"/>
      <c r="F89" s="25"/>
      <c r="G89" s="25"/>
      <c r="H89" s="25"/>
      <c r="I89" s="25"/>
      <c r="J89" s="25"/>
      <c r="K89" s="25"/>
      <c r="L89" s="86"/>
      <c r="M89" s="86"/>
      <c r="N89" s="86"/>
      <c r="O89" s="86"/>
      <c r="P89" s="9"/>
    </row>
    <row r="90" spans="1:16" ht="19.5" customHeight="1">
      <c r="A90" s="376" t="s">
        <v>118</v>
      </c>
      <c r="B90" s="377"/>
      <c r="C90" s="54" t="s">
        <v>16</v>
      </c>
      <c r="D90" s="284"/>
      <c r="E90" s="284"/>
      <c r="F90" s="296"/>
      <c r="G90" s="284"/>
      <c r="H90" s="286"/>
      <c r="I90" s="284"/>
      <c r="J90" s="284"/>
      <c r="K90" s="284"/>
      <c r="L90" s="284"/>
      <c r="M90" s="285"/>
      <c r="N90" s="285"/>
      <c r="O90" s="284"/>
      <c r="P90" s="8"/>
    </row>
    <row r="91" spans="1:16" ht="19.5" customHeight="1">
      <c r="A91" s="378"/>
      <c r="B91" s="379"/>
      <c r="C91" s="48" t="s">
        <v>18</v>
      </c>
      <c r="D91" s="288"/>
      <c r="E91" s="288"/>
      <c r="F91" s="300"/>
      <c r="G91" s="288"/>
      <c r="H91" s="290"/>
      <c r="I91" s="288"/>
      <c r="J91" s="288"/>
      <c r="K91" s="288"/>
      <c r="L91" s="288"/>
      <c r="M91" s="289"/>
      <c r="N91" s="289"/>
      <c r="O91" s="288"/>
      <c r="P91" s="9"/>
    </row>
    <row r="92" spans="1:16" ht="19.5" customHeight="1">
      <c r="A92" s="376" t="s">
        <v>61</v>
      </c>
      <c r="B92" s="377"/>
      <c r="C92" s="54" t="s">
        <v>16</v>
      </c>
      <c r="D92" s="284"/>
      <c r="E92" s="284"/>
      <c r="F92" s="296"/>
      <c r="G92" s="284"/>
      <c r="H92" s="286"/>
      <c r="I92" s="284"/>
      <c r="J92" s="284"/>
      <c r="K92" s="284"/>
      <c r="L92" s="284"/>
      <c r="M92" s="285"/>
      <c r="N92" s="285"/>
      <c r="O92" s="284"/>
      <c r="P92" s="8"/>
    </row>
    <row r="93" spans="1:16" ht="19.5" customHeight="1">
      <c r="A93" s="378"/>
      <c r="B93" s="379"/>
      <c r="C93" s="48" t="s">
        <v>18</v>
      </c>
      <c r="D93" s="288"/>
      <c r="E93" s="288"/>
      <c r="F93" s="300"/>
      <c r="G93" s="288"/>
      <c r="H93" s="290"/>
      <c r="I93" s="288"/>
      <c r="J93" s="288"/>
      <c r="K93" s="288"/>
      <c r="L93" s="288"/>
      <c r="M93" s="289"/>
      <c r="N93" s="289"/>
      <c r="O93" s="288"/>
      <c r="P93" s="9"/>
    </row>
    <row r="94" spans="1:16" ht="19.5" customHeight="1">
      <c r="A94" s="376" t="s">
        <v>119</v>
      </c>
      <c r="B94" s="377"/>
      <c r="C94" s="54" t="s">
        <v>16</v>
      </c>
      <c r="D94" s="284"/>
      <c r="E94" s="304"/>
      <c r="F94" s="296"/>
      <c r="G94" s="284"/>
      <c r="H94" s="286"/>
      <c r="I94" s="284"/>
      <c r="J94" s="284"/>
      <c r="K94" s="284"/>
      <c r="L94" s="284"/>
      <c r="M94" s="285"/>
      <c r="N94" s="285"/>
      <c r="O94" s="284"/>
      <c r="P94" s="8"/>
    </row>
    <row r="95" spans="1:16" ht="19.5" customHeight="1">
      <c r="A95" s="378"/>
      <c r="B95" s="379"/>
      <c r="C95" s="48" t="s">
        <v>18</v>
      </c>
      <c r="D95" s="288"/>
      <c r="E95" s="288"/>
      <c r="F95" s="300"/>
      <c r="G95" s="288"/>
      <c r="H95" s="290"/>
      <c r="I95" s="288"/>
      <c r="J95" s="288"/>
      <c r="K95" s="288"/>
      <c r="L95" s="288"/>
      <c r="M95" s="289"/>
      <c r="N95" s="289"/>
      <c r="O95" s="288"/>
      <c r="P95" s="9"/>
    </row>
    <row r="96" spans="1:16" ht="19.5" customHeight="1">
      <c r="A96" s="376" t="s">
        <v>120</v>
      </c>
      <c r="B96" s="377"/>
      <c r="C96" s="54" t="s">
        <v>16</v>
      </c>
      <c r="D96" s="284"/>
      <c r="E96" s="284"/>
      <c r="F96" s="296"/>
      <c r="G96" s="284"/>
      <c r="H96" s="286"/>
      <c r="I96" s="284"/>
      <c r="J96" s="284"/>
      <c r="K96" s="284"/>
      <c r="L96" s="284"/>
      <c r="M96" s="285"/>
      <c r="N96" s="285"/>
      <c r="O96" s="284"/>
      <c r="P96" s="8"/>
    </row>
    <row r="97" spans="1:16" ht="19.5" customHeight="1">
      <c r="A97" s="378"/>
      <c r="B97" s="379"/>
      <c r="C97" s="48" t="s">
        <v>18</v>
      </c>
      <c r="D97" s="288"/>
      <c r="E97" s="288"/>
      <c r="F97" s="300"/>
      <c r="G97" s="288"/>
      <c r="H97" s="290"/>
      <c r="I97" s="288"/>
      <c r="J97" s="288"/>
      <c r="K97" s="288"/>
      <c r="L97" s="288"/>
      <c r="M97" s="289"/>
      <c r="N97" s="289"/>
      <c r="O97" s="288"/>
      <c r="P97" s="9"/>
    </row>
    <row r="98" spans="1:16" ht="19.5" customHeight="1">
      <c r="A98" s="376" t="s">
        <v>63</v>
      </c>
      <c r="B98" s="377"/>
      <c r="C98" s="54" t="s">
        <v>16</v>
      </c>
      <c r="D98" s="284"/>
      <c r="E98" s="284"/>
      <c r="F98" s="296"/>
      <c r="G98" s="284"/>
      <c r="H98" s="286"/>
      <c r="I98" s="284"/>
      <c r="J98" s="284"/>
      <c r="K98" s="284"/>
      <c r="L98" s="284"/>
      <c r="M98" s="285"/>
      <c r="N98" s="285"/>
      <c r="O98" s="284"/>
      <c r="P98" s="8"/>
    </row>
    <row r="99" spans="1:16" ht="19.5" customHeight="1">
      <c r="A99" s="378"/>
      <c r="B99" s="379"/>
      <c r="C99" s="48" t="s">
        <v>18</v>
      </c>
      <c r="D99" s="288"/>
      <c r="E99" s="288"/>
      <c r="F99" s="300"/>
      <c r="G99" s="288"/>
      <c r="H99" s="290"/>
      <c r="I99" s="288"/>
      <c r="J99" s="288"/>
      <c r="K99" s="288"/>
      <c r="L99" s="288"/>
      <c r="M99" s="289"/>
      <c r="N99" s="289"/>
      <c r="O99" s="288"/>
      <c r="P99" s="9"/>
    </row>
    <row r="100" spans="1:16" ht="19.5" customHeight="1">
      <c r="A100" s="376" t="s">
        <v>121</v>
      </c>
      <c r="B100" s="377"/>
      <c r="C100" s="54" t="s">
        <v>16</v>
      </c>
      <c r="D100" s="284"/>
      <c r="E100" s="284"/>
      <c r="F100" s="296"/>
      <c r="G100" s="284"/>
      <c r="H100" s="286"/>
      <c r="I100" s="284"/>
      <c r="J100" s="284"/>
      <c r="K100" s="284"/>
      <c r="L100" s="284"/>
      <c r="M100" s="285"/>
      <c r="N100" s="285"/>
      <c r="O100" s="284"/>
      <c r="P100" s="8"/>
    </row>
    <row r="101" spans="1:16" ht="19.5" customHeight="1">
      <c r="A101" s="378"/>
      <c r="B101" s="379"/>
      <c r="C101" s="48" t="s">
        <v>18</v>
      </c>
      <c r="D101" s="288"/>
      <c r="E101" s="288"/>
      <c r="F101" s="300"/>
      <c r="G101" s="288"/>
      <c r="H101" s="290"/>
      <c r="I101" s="288"/>
      <c r="J101" s="288"/>
      <c r="K101" s="288"/>
      <c r="L101" s="288"/>
      <c r="M101" s="289"/>
      <c r="N101" s="289"/>
      <c r="O101" s="288"/>
      <c r="P101" s="9"/>
    </row>
    <row r="102" spans="1:16" ht="19.5" customHeight="1">
      <c r="A102" s="376" t="s">
        <v>64</v>
      </c>
      <c r="B102" s="377"/>
      <c r="C102" s="54" t="s">
        <v>16</v>
      </c>
      <c r="D102" s="284"/>
      <c r="E102" s="284"/>
      <c r="F102" s="296"/>
      <c r="G102" s="284"/>
      <c r="H102" s="286"/>
      <c r="I102" s="284"/>
      <c r="J102" s="284"/>
      <c r="K102" s="284"/>
      <c r="L102" s="284"/>
      <c r="M102" s="285"/>
      <c r="N102" s="285"/>
      <c r="O102" s="284"/>
      <c r="P102" s="8"/>
    </row>
    <row r="103" spans="1:16" ht="19.5" customHeight="1">
      <c r="A103" s="378"/>
      <c r="B103" s="379"/>
      <c r="C103" s="48" t="s">
        <v>18</v>
      </c>
      <c r="D103" s="288"/>
      <c r="E103" s="302"/>
      <c r="F103" s="300"/>
      <c r="G103" s="288"/>
      <c r="H103" s="290"/>
      <c r="I103" s="288"/>
      <c r="J103" s="288"/>
      <c r="K103" s="288"/>
      <c r="L103" s="288"/>
      <c r="M103" s="289"/>
      <c r="N103" s="289"/>
      <c r="O103" s="288"/>
      <c r="P103" s="9"/>
    </row>
    <row r="104" spans="1:16" ht="19.5" customHeight="1">
      <c r="A104" s="384" t="s">
        <v>65</v>
      </c>
      <c r="B104" s="385"/>
      <c r="C104" s="54" t="s">
        <v>16</v>
      </c>
      <c r="D104" s="26"/>
      <c r="E104" s="26"/>
      <c r="F104" s="26"/>
      <c r="G104" s="26"/>
      <c r="H104" s="26"/>
      <c r="I104" s="26"/>
      <c r="J104" s="26"/>
      <c r="K104" s="26"/>
      <c r="L104" s="28"/>
      <c r="M104" s="28"/>
      <c r="N104" s="28"/>
      <c r="O104" s="28"/>
      <c r="P104" s="8"/>
    </row>
    <row r="105" spans="1:16" ht="19.5" customHeight="1">
      <c r="A105" s="386"/>
      <c r="B105" s="387"/>
      <c r="C105" s="48" t="s">
        <v>18</v>
      </c>
      <c r="D105" s="25"/>
      <c r="E105" s="25"/>
      <c r="F105" s="25"/>
      <c r="G105" s="25"/>
      <c r="H105" s="25"/>
      <c r="I105" s="25"/>
      <c r="J105" s="25"/>
      <c r="K105" s="25"/>
      <c r="L105" s="86"/>
      <c r="M105" s="86"/>
      <c r="N105" s="86"/>
      <c r="O105" s="86"/>
      <c r="P105" s="9"/>
    </row>
    <row r="106" spans="1:16" ht="19.5" customHeight="1">
      <c r="A106" s="44" t="s">
        <v>0</v>
      </c>
      <c r="B106" s="382" t="s">
        <v>134</v>
      </c>
      <c r="C106" s="54" t="s">
        <v>16</v>
      </c>
      <c r="D106" s="284"/>
      <c r="E106" s="284"/>
      <c r="F106" s="296"/>
      <c r="G106" s="284"/>
      <c r="H106" s="286"/>
      <c r="I106" s="284"/>
      <c r="J106" s="284"/>
      <c r="K106" s="284"/>
      <c r="L106" s="284"/>
      <c r="M106" s="285"/>
      <c r="N106" s="285"/>
      <c r="O106" s="284"/>
      <c r="P106" s="8"/>
    </row>
    <row r="107" spans="1:16" ht="19.5" customHeight="1">
      <c r="A107" s="44" t="s">
        <v>0</v>
      </c>
      <c r="B107" s="383"/>
      <c r="C107" s="48" t="s">
        <v>18</v>
      </c>
      <c r="D107" s="288"/>
      <c r="E107" s="288"/>
      <c r="F107" s="300"/>
      <c r="G107" s="288"/>
      <c r="H107" s="290"/>
      <c r="I107" s="288"/>
      <c r="J107" s="288"/>
      <c r="K107" s="288"/>
      <c r="L107" s="288"/>
      <c r="M107" s="289"/>
      <c r="N107" s="289"/>
      <c r="O107" s="288"/>
      <c r="P107" s="9"/>
    </row>
    <row r="108" spans="1:16" ht="19.5" customHeight="1">
      <c r="A108" s="44" t="s">
        <v>66</v>
      </c>
      <c r="B108" s="382" t="s">
        <v>123</v>
      </c>
      <c r="C108" s="54" t="s">
        <v>16</v>
      </c>
      <c r="D108" s="284"/>
      <c r="E108" s="284"/>
      <c r="F108" s="296"/>
      <c r="G108" s="284"/>
      <c r="H108" s="286"/>
      <c r="I108" s="284"/>
      <c r="J108" s="284"/>
      <c r="K108" s="284"/>
      <c r="L108" s="284"/>
      <c r="M108" s="285"/>
      <c r="N108" s="285"/>
      <c r="O108" s="284"/>
      <c r="P108" s="8"/>
    </row>
    <row r="109" spans="1:16" ht="19.5" customHeight="1">
      <c r="A109" s="44" t="s">
        <v>0</v>
      </c>
      <c r="B109" s="383"/>
      <c r="C109" s="48" t="s">
        <v>18</v>
      </c>
      <c r="D109" s="288"/>
      <c r="E109" s="288"/>
      <c r="F109" s="300"/>
      <c r="G109" s="288"/>
      <c r="H109" s="290"/>
      <c r="I109" s="288"/>
      <c r="J109" s="288"/>
      <c r="K109" s="288"/>
      <c r="L109" s="288"/>
      <c r="M109" s="289"/>
      <c r="N109" s="289"/>
      <c r="O109" s="288"/>
      <c r="P109" s="9"/>
    </row>
    <row r="110" spans="1:16" ht="19.5" customHeight="1">
      <c r="A110" s="44" t="s">
        <v>0</v>
      </c>
      <c r="B110" s="382" t="s">
        <v>124</v>
      </c>
      <c r="C110" s="54" t="s">
        <v>16</v>
      </c>
      <c r="D110" s="284"/>
      <c r="E110" s="284"/>
      <c r="F110" s="296"/>
      <c r="G110" s="284"/>
      <c r="H110" s="286"/>
      <c r="I110" s="284"/>
      <c r="J110" s="284"/>
      <c r="K110" s="284"/>
      <c r="L110" s="284"/>
      <c r="M110" s="285"/>
      <c r="N110" s="285"/>
      <c r="O110" s="284"/>
      <c r="P110" s="8"/>
    </row>
    <row r="111" spans="1:16" ht="19.5" customHeight="1">
      <c r="A111" s="50"/>
      <c r="B111" s="383"/>
      <c r="C111" s="48" t="s">
        <v>18</v>
      </c>
      <c r="D111" s="288"/>
      <c r="E111" s="288"/>
      <c r="F111" s="300"/>
      <c r="G111" s="288"/>
      <c r="H111" s="290"/>
      <c r="I111" s="288"/>
      <c r="J111" s="288"/>
      <c r="K111" s="288"/>
      <c r="L111" s="288"/>
      <c r="M111" s="289"/>
      <c r="N111" s="289"/>
      <c r="O111" s="288"/>
      <c r="P111" s="9"/>
    </row>
    <row r="112" spans="1:16" ht="19.5" customHeight="1">
      <c r="A112" s="44" t="s">
        <v>67</v>
      </c>
      <c r="B112" s="382" t="s">
        <v>125</v>
      </c>
      <c r="C112" s="54" t="s">
        <v>16</v>
      </c>
      <c r="D112" s="284"/>
      <c r="E112" s="284"/>
      <c r="F112" s="296"/>
      <c r="G112" s="284"/>
      <c r="H112" s="286"/>
      <c r="I112" s="284"/>
      <c r="J112" s="284"/>
      <c r="K112" s="284"/>
      <c r="L112" s="284"/>
      <c r="M112" s="285"/>
      <c r="N112" s="285"/>
      <c r="O112" s="284"/>
      <c r="P112" s="8"/>
    </row>
    <row r="113" spans="1:16" ht="19.5" customHeight="1">
      <c r="A113" s="50"/>
      <c r="B113" s="383"/>
      <c r="C113" s="48" t="s">
        <v>18</v>
      </c>
      <c r="D113" s="288"/>
      <c r="E113" s="288"/>
      <c r="F113" s="300"/>
      <c r="G113" s="288"/>
      <c r="H113" s="290"/>
      <c r="I113" s="288"/>
      <c r="J113" s="288"/>
      <c r="K113" s="288"/>
      <c r="L113" s="288"/>
      <c r="M113" s="289"/>
      <c r="N113" s="289"/>
      <c r="O113" s="288"/>
      <c r="P113" s="9"/>
    </row>
    <row r="114" spans="1:16" ht="19.5" customHeight="1">
      <c r="A114" s="50"/>
      <c r="B114" s="382" t="s">
        <v>126</v>
      </c>
      <c r="C114" s="54" t="s">
        <v>16</v>
      </c>
      <c r="D114" s="284"/>
      <c r="E114" s="304"/>
      <c r="F114" s="296"/>
      <c r="G114" s="284"/>
      <c r="H114" s="286"/>
      <c r="I114" s="284"/>
      <c r="J114" s="284"/>
      <c r="K114" s="284"/>
      <c r="L114" s="284"/>
      <c r="M114" s="285"/>
      <c r="N114" s="285"/>
      <c r="O114" s="284"/>
      <c r="P114" s="8"/>
    </row>
    <row r="115" spans="1:16" ht="19.5" customHeight="1">
      <c r="A115" s="50"/>
      <c r="B115" s="383"/>
      <c r="C115" s="48" t="s">
        <v>18</v>
      </c>
      <c r="D115" s="288"/>
      <c r="E115" s="288"/>
      <c r="F115" s="300"/>
      <c r="G115" s="288"/>
      <c r="H115" s="290"/>
      <c r="I115" s="288"/>
      <c r="J115" s="288"/>
      <c r="K115" s="288"/>
      <c r="L115" s="288"/>
      <c r="M115" s="289"/>
      <c r="N115" s="289"/>
      <c r="O115" s="288"/>
      <c r="P115" s="9"/>
    </row>
    <row r="116" spans="1:16" ht="19.5" customHeight="1">
      <c r="A116" s="44" t="s">
        <v>68</v>
      </c>
      <c r="B116" s="382" t="s">
        <v>127</v>
      </c>
      <c r="C116" s="54" t="s">
        <v>16</v>
      </c>
      <c r="D116" s="284"/>
      <c r="E116" s="284"/>
      <c r="F116" s="296"/>
      <c r="G116" s="284"/>
      <c r="H116" s="286"/>
      <c r="I116" s="284"/>
      <c r="J116" s="284"/>
      <c r="K116" s="284"/>
      <c r="L116" s="284"/>
      <c r="M116" s="285"/>
      <c r="N116" s="285"/>
      <c r="O116" s="284"/>
      <c r="P116" s="8"/>
    </row>
    <row r="117" spans="1:16" ht="19.5" customHeight="1">
      <c r="A117" s="50"/>
      <c r="B117" s="383"/>
      <c r="C117" s="48" t="s">
        <v>18</v>
      </c>
      <c r="D117" s="288"/>
      <c r="E117" s="288"/>
      <c r="F117" s="300"/>
      <c r="G117" s="288"/>
      <c r="H117" s="290"/>
      <c r="I117" s="288"/>
      <c r="J117" s="288"/>
      <c r="K117" s="288"/>
      <c r="L117" s="288"/>
      <c r="M117" s="289"/>
      <c r="N117" s="289"/>
      <c r="O117" s="288"/>
      <c r="P117" s="9"/>
    </row>
    <row r="118" spans="1:16" ht="19.5" customHeight="1">
      <c r="A118" s="50"/>
      <c r="B118" s="382" t="s">
        <v>128</v>
      </c>
      <c r="C118" s="54" t="s">
        <v>16</v>
      </c>
      <c r="D118" s="284"/>
      <c r="E118" s="284"/>
      <c r="F118" s="296"/>
      <c r="G118" s="284"/>
      <c r="H118" s="286"/>
      <c r="I118" s="284"/>
      <c r="J118" s="284"/>
      <c r="K118" s="284"/>
      <c r="L118" s="284"/>
      <c r="M118" s="285"/>
      <c r="N118" s="285"/>
      <c r="O118" s="284"/>
      <c r="P118" s="8"/>
    </row>
    <row r="119" spans="1:16" ht="19.5" customHeight="1">
      <c r="A119" s="50"/>
      <c r="B119" s="383"/>
      <c r="C119" s="48" t="s">
        <v>18</v>
      </c>
      <c r="D119" s="288"/>
      <c r="E119" s="288"/>
      <c r="F119" s="300"/>
      <c r="G119" s="288"/>
      <c r="H119" s="290"/>
      <c r="I119" s="288"/>
      <c r="J119" s="288"/>
      <c r="K119" s="288"/>
      <c r="L119" s="288"/>
      <c r="M119" s="289"/>
      <c r="N119" s="289"/>
      <c r="O119" s="288"/>
      <c r="P119" s="9"/>
    </row>
    <row r="120" spans="1:16" ht="19.5" customHeight="1">
      <c r="A120" s="44" t="s">
        <v>70</v>
      </c>
      <c r="B120" s="382" t="s">
        <v>137</v>
      </c>
      <c r="C120" s="54" t="s">
        <v>16</v>
      </c>
      <c r="D120" s="284"/>
      <c r="E120" s="284"/>
      <c r="F120" s="296"/>
      <c r="G120" s="284"/>
      <c r="H120" s="286"/>
      <c r="I120" s="284"/>
      <c r="J120" s="284"/>
      <c r="K120" s="284"/>
      <c r="L120" s="284"/>
      <c r="M120" s="285"/>
      <c r="N120" s="285"/>
      <c r="O120" s="284"/>
      <c r="P120" s="8"/>
    </row>
    <row r="121" spans="1:16" ht="19.5" customHeight="1">
      <c r="A121" s="50"/>
      <c r="B121" s="383"/>
      <c r="C121" s="48" t="s">
        <v>18</v>
      </c>
      <c r="D121" s="288"/>
      <c r="E121" s="288"/>
      <c r="F121" s="300"/>
      <c r="G121" s="288"/>
      <c r="H121" s="290"/>
      <c r="I121" s="288"/>
      <c r="J121" s="288"/>
      <c r="K121" s="288"/>
      <c r="L121" s="288"/>
      <c r="M121" s="289"/>
      <c r="N121" s="289"/>
      <c r="O121" s="288"/>
      <c r="P121" s="9"/>
    </row>
    <row r="122" spans="1:16" ht="19.5" customHeight="1">
      <c r="A122" s="50"/>
      <c r="B122" s="382" t="s">
        <v>72</v>
      </c>
      <c r="C122" s="54" t="s">
        <v>16</v>
      </c>
      <c r="D122" s="284"/>
      <c r="E122" s="284"/>
      <c r="F122" s="296"/>
      <c r="G122" s="284"/>
      <c r="H122" s="286"/>
      <c r="I122" s="284"/>
      <c r="J122" s="284"/>
      <c r="K122" s="284"/>
      <c r="L122" s="284"/>
      <c r="M122" s="285"/>
      <c r="N122" s="285"/>
      <c r="O122" s="284"/>
      <c r="P122" s="8"/>
    </row>
    <row r="123" spans="1:16" ht="19.5" customHeight="1">
      <c r="A123" s="50"/>
      <c r="B123" s="383"/>
      <c r="C123" s="48" t="s">
        <v>18</v>
      </c>
      <c r="D123" s="288"/>
      <c r="E123" s="288"/>
      <c r="F123" s="300"/>
      <c r="G123" s="288"/>
      <c r="H123" s="290"/>
      <c r="I123" s="288"/>
      <c r="J123" s="288"/>
      <c r="K123" s="288"/>
      <c r="L123" s="288"/>
      <c r="M123" s="289"/>
      <c r="N123" s="289"/>
      <c r="O123" s="288"/>
      <c r="P123" s="9"/>
    </row>
    <row r="124" spans="1:16" ht="19.5" customHeight="1">
      <c r="A124" s="44" t="s">
        <v>23</v>
      </c>
      <c r="B124" s="382" t="s">
        <v>130</v>
      </c>
      <c r="C124" s="54" t="s">
        <v>16</v>
      </c>
      <c r="D124" s="284"/>
      <c r="E124" s="284"/>
      <c r="F124" s="296"/>
      <c r="G124" s="284"/>
      <c r="H124" s="286"/>
      <c r="I124" s="284"/>
      <c r="J124" s="284"/>
      <c r="K124" s="284"/>
      <c r="L124" s="284"/>
      <c r="M124" s="285"/>
      <c r="N124" s="285"/>
      <c r="O124" s="284"/>
      <c r="P124" s="8"/>
    </row>
    <row r="125" spans="1:16" ht="19.5" customHeight="1">
      <c r="A125" s="50"/>
      <c r="B125" s="383"/>
      <c r="C125" s="48" t="s">
        <v>18</v>
      </c>
      <c r="D125" s="288"/>
      <c r="E125" s="302"/>
      <c r="F125" s="300"/>
      <c r="G125" s="288"/>
      <c r="H125" s="290"/>
      <c r="I125" s="288"/>
      <c r="J125" s="288"/>
      <c r="K125" s="288"/>
      <c r="L125" s="288"/>
      <c r="M125" s="289"/>
      <c r="N125" s="289"/>
      <c r="O125" s="288"/>
      <c r="P125" s="9"/>
    </row>
    <row r="126" spans="1:16" ht="19.5" customHeight="1">
      <c r="A126" s="50"/>
      <c r="B126" s="47" t="s">
        <v>20</v>
      </c>
      <c r="C126" s="54" t="s">
        <v>16</v>
      </c>
      <c r="D126" s="284"/>
      <c r="E126" s="284"/>
      <c r="F126" s="296"/>
      <c r="G126" s="284"/>
      <c r="H126" s="286"/>
      <c r="I126" s="284"/>
      <c r="J126" s="284"/>
      <c r="K126" s="284"/>
      <c r="L126" s="284"/>
      <c r="M126" s="285"/>
      <c r="N126" s="285"/>
      <c r="O126" s="284"/>
      <c r="P126" s="8"/>
    </row>
    <row r="127" spans="1:16" ht="19.5" customHeight="1">
      <c r="A127" s="50"/>
      <c r="B127" s="48" t="s">
        <v>73</v>
      </c>
      <c r="C127" s="48" t="s">
        <v>18</v>
      </c>
      <c r="D127" s="288"/>
      <c r="E127" s="288"/>
      <c r="F127" s="300"/>
      <c r="G127" s="288"/>
      <c r="H127" s="290"/>
      <c r="I127" s="288"/>
      <c r="J127" s="288"/>
      <c r="K127" s="288"/>
      <c r="L127" s="288"/>
      <c r="M127" s="289"/>
      <c r="N127" s="289"/>
      <c r="O127" s="288"/>
      <c r="P127" s="9"/>
    </row>
    <row r="128" spans="1:16" ht="19.5" customHeight="1">
      <c r="A128" s="50"/>
      <c r="B128" s="380" t="s">
        <v>107</v>
      </c>
      <c r="C128" s="54" t="s">
        <v>16</v>
      </c>
      <c r="D128" s="26"/>
      <c r="E128" s="26"/>
      <c r="F128" s="26"/>
      <c r="G128" s="26"/>
      <c r="H128" s="26"/>
      <c r="I128" s="26"/>
      <c r="J128" s="26"/>
      <c r="K128" s="26"/>
      <c r="L128" s="83"/>
      <c r="M128" s="83"/>
      <c r="N128" s="83"/>
      <c r="O128" s="28"/>
      <c r="P128" s="8"/>
    </row>
    <row r="129" spans="1:16" ht="19.5" customHeight="1">
      <c r="A129" s="49"/>
      <c r="B129" s="381"/>
      <c r="C129" s="48" t="s">
        <v>18</v>
      </c>
      <c r="D129" s="25"/>
      <c r="E129" s="25"/>
      <c r="F129" s="25"/>
      <c r="G129" s="25"/>
      <c r="H129" s="25"/>
      <c r="I129" s="25"/>
      <c r="J129" s="25"/>
      <c r="K129" s="25"/>
      <c r="L129" s="86"/>
      <c r="M129" s="86"/>
      <c r="N129" s="86"/>
      <c r="O129" s="86"/>
      <c r="P129" s="9"/>
    </row>
    <row r="130" spans="1:16" ht="19.5" customHeight="1">
      <c r="A130" s="44" t="s">
        <v>0</v>
      </c>
      <c r="B130" s="382" t="s">
        <v>74</v>
      </c>
      <c r="C130" s="54" t="s">
        <v>16</v>
      </c>
      <c r="D130" s="284"/>
      <c r="E130" s="284"/>
      <c r="F130" s="296"/>
      <c r="G130" s="284"/>
      <c r="H130" s="286"/>
      <c r="I130" s="284"/>
      <c r="J130" s="284"/>
      <c r="K130" s="284"/>
      <c r="L130" s="284"/>
      <c r="M130" s="285"/>
      <c r="N130" s="285"/>
      <c r="O130" s="284"/>
      <c r="P130" s="8"/>
    </row>
    <row r="131" spans="1:16" ht="19.5" customHeight="1">
      <c r="A131" s="44" t="s">
        <v>0</v>
      </c>
      <c r="B131" s="383"/>
      <c r="C131" s="48" t="s">
        <v>18</v>
      </c>
      <c r="D131" s="288"/>
      <c r="E131" s="288"/>
      <c r="F131" s="300"/>
      <c r="G131" s="288"/>
      <c r="H131" s="290"/>
      <c r="I131" s="288"/>
      <c r="J131" s="288"/>
      <c r="K131" s="288"/>
      <c r="L131" s="288"/>
      <c r="M131" s="289"/>
      <c r="N131" s="289"/>
      <c r="O131" s="288"/>
      <c r="P131" s="9"/>
    </row>
    <row r="132" spans="1:16" ht="19.5" customHeight="1">
      <c r="A132" s="44" t="s">
        <v>75</v>
      </c>
      <c r="B132" s="382" t="s">
        <v>76</v>
      </c>
      <c r="C132" s="54" t="s">
        <v>16</v>
      </c>
      <c r="D132" s="284"/>
      <c r="E132" s="284"/>
      <c r="F132" s="296"/>
      <c r="G132" s="284"/>
      <c r="H132" s="286"/>
      <c r="I132" s="284"/>
      <c r="J132" s="284"/>
      <c r="K132" s="284"/>
      <c r="L132" s="284"/>
      <c r="M132" s="285"/>
      <c r="N132" s="285"/>
      <c r="O132" s="284"/>
      <c r="P132" s="8"/>
    </row>
    <row r="133" spans="1:16" ht="19.5" customHeight="1">
      <c r="A133" s="50"/>
      <c r="B133" s="383"/>
      <c r="C133" s="48" t="s">
        <v>18</v>
      </c>
      <c r="D133" s="288"/>
      <c r="E133" s="288"/>
      <c r="F133" s="300"/>
      <c r="G133" s="288"/>
      <c r="H133" s="290"/>
      <c r="I133" s="288"/>
      <c r="J133" s="288"/>
      <c r="K133" s="288"/>
      <c r="L133" s="288"/>
      <c r="M133" s="289"/>
      <c r="N133" s="289"/>
      <c r="O133" s="288"/>
      <c r="P133" s="9"/>
    </row>
    <row r="134" spans="1:16" ht="19.5" customHeight="1">
      <c r="A134" s="44" t="s">
        <v>77</v>
      </c>
      <c r="B134" s="47" t="s">
        <v>20</v>
      </c>
      <c r="C134" s="47" t="s">
        <v>16</v>
      </c>
      <c r="D134" s="350"/>
      <c r="E134" s="350"/>
      <c r="F134" s="338"/>
      <c r="G134" s="350"/>
      <c r="H134" s="351"/>
      <c r="I134" s="350"/>
      <c r="J134" s="350"/>
      <c r="K134" s="350"/>
      <c r="L134" s="350"/>
      <c r="M134" s="352"/>
      <c r="N134" s="352"/>
      <c r="O134" s="350"/>
      <c r="P134" s="13"/>
    </row>
    <row r="135" spans="1:16" ht="19.5" customHeight="1">
      <c r="A135" s="50"/>
      <c r="B135" s="47" t="s">
        <v>78</v>
      </c>
      <c r="C135" s="213" t="s">
        <v>79</v>
      </c>
      <c r="D135" s="353"/>
      <c r="E135" s="353"/>
      <c r="F135" s="354"/>
      <c r="G135" s="353"/>
      <c r="H135" s="355"/>
      <c r="I135" s="353"/>
      <c r="J135" s="353"/>
      <c r="K135" s="353"/>
      <c r="L135" s="353"/>
      <c r="M135" s="356"/>
      <c r="N135" s="356"/>
      <c r="O135" s="353"/>
      <c r="P135" s="185"/>
    </row>
    <row r="136" spans="1:16" ht="19.5" customHeight="1">
      <c r="A136" s="44" t="s">
        <v>23</v>
      </c>
      <c r="B136" s="2"/>
      <c r="C136" s="48" t="s">
        <v>18</v>
      </c>
      <c r="D136" s="288"/>
      <c r="E136" s="288"/>
      <c r="F136" s="300"/>
      <c r="G136" s="288"/>
      <c r="H136" s="290"/>
      <c r="I136" s="288"/>
      <c r="J136" s="288"/>
      <c r="K136" s="288"/>
      <c r="L136" s="288"/>
      <c r="M136" s="289"/>
      <c r="N136" s="289"/>
      <c r="O136" s="288"/>
      <c r="P136" s="9"/>
    </row>
    <row r="137" spans="1:16" ht="19.5" customHeight="1">
      <c r="A137" s="50"/>
      <c r="B137" s="55" t="s">
        <v>0</v>
      </c>
      <c r="C137" s="54" t="s">
        <v>16</v>
      </c>
      <c r="D137" s="26"/>
      <c r="E137" s="26"/>
      <c r="F137" s="26"/>
      <c r="G137" s="26"/>
      <c r="H137" s="26"/>
      <c r="I137" s="26"/>
      <c r="J137" s="26"/>
      <c r="K137" s="26"/>
      <c r="L137" s="28"/>
      <c r="M137" s="28"/>
      <c r="N137" s="28"/>
      <c r="O137" s="28"/>
      <c r="P137" s="194"/>
    </row>
    <row r="138" spans="1:16" ht="19.5" customHeight="1">
      <c r="A138" s="50"/>
      <c r="B138" s="56" t="s">
        <v>107</v>
      </c>
      <c r="C138" s="54" t="s">
        <v>79</v>
      </c>
      <c r="D138" s="26"/>
      <c r="E138" s="26"/>
      <c r="F138" s="26"/>
      <c r="G138" s="26"/>
      <c r="H138" s="26"/>
      <c r="I138" s="26"/>
      <c r="J138" s="26"/>
      <c r="K138" s="26"/>
      <c r="L138" s="28"/>
      <c r="M138" s="28"/>
      <c r="N138" s="28"/>
      <c r="O138" s="28"/>
      <c r="P138" s="8"/>
    </row>
    <row r="139" spans="1:16" ht="19.5" customHeight="1">
      <c r="A139" s="49"/>
      <c r="B139" s="2"/>
      <c r="C139" s="48" t="s">
        <v>18</v>
      </c>
      <c r="D139" s="25"/>
      <c r="E139" s="25"/>
      <c r="F139" s="25"/>
      <c r="G139" s="25"/>
      <c r="H139" s="25"/>
      <c r="I139" s="25"/>
      <c r="J139" s="25"/>
      <c r="K139" s="25"/>
      <c r="L139" s="86"/>
      <c r="M139" s="86"/>
      <c r="N139" s="86"/>
      <c r="O139" s="86"/>
      <c r="P139" s="9"/>
    </row>
    <row r="140" spans="1:16" s="60" customFormat="1" ht="19.5" customHeight="1">
      <c r="A140" s="57"/>
      <c r="B140" s="58" t="s">
        <v>0</v>
      </c>
      <c r="C140" s="62" t="s">
        <v>16</v>
      </c>
      <c r="D140" s="323"/>
      <c r="E140" s="323"/>
      <c r="F140" s="323"/>
      <c r="G140" s="323"/>
      <c r="H140" s="325"/>
      <c r="I140" s="323"/>
      <c r="J140" s="323"/>
      <c r="K140" s="323"/>
      <c r="L140" s="323"/>
      <c r="M140" s="326"/>
      <c r="N140" s="326"/>
      <c r="O140" s="323"/>
      <c r="P140" s="200"/>
    </row>
    <row r="141" spans="1:16" s="60" customFormat="1" ht="19.5" customHeight="1">
      <c r="A141" s="57"/>
      <c r="B141" s="61" t="s">
        <v>220</v>
      </c>
      <c r="C141" s="62" t="s">
        <v>79</v>
      </c>
      <c r="D141" s="357"/>
      <c r="E141" s="357"/>
      <c r="F141" s="357"/>
      <c r="G141" s="357"/>
      <c r="H141" s="329"/>
      <c r="I141" s="357"/>
      <c r="J141" s="357"/>
      <c r="K141" s="357"/>
      <c r="L141" s="357"/>
      <c r="M141" s="287"/>
      <c r="N141" s="287"/>
      <c r="O141" s="357"/>
      <c r="P141" s="15"/>
    </row>
    <row r="142" spans="1:16" s="60" customFormat="1" ht="19.5" customHeight="1" thickBot="1">
      <c r="A142" s="63"/>
      <c r="B142" s="64"/>
      <c r="C142" s="65" t="s">
        <v>18</v>
      </c>
      <c r="D142" s="345"/>
      <c r="E142" s="345"/>
      <c r="F142" s="345"/>
      <c r="G142" s="345"/>
      <c r="H142" s="358"/>
      <c r="I142" s="345"/>
      <c r="J142" s="345"/>
      <c r="K142" s="345"/>
      <c r="L142" s="345"/>
      <c r="M142" s="331"/>
      <c r="N142" s="331"/>
      <c r="O142" s="345"/>
      <c r="P142" s="7"/>
    </row>
    <row r="143" spans="15:16" ht="18.75">
      <c r="O143" s="66"/>
      <c r="P143" s="67" t="s">
        <v>92</v>
      </c>
    </row>
  </sheetData>
  <sheetProtection/>
  <mergeCells count="52">
    <mergeCell ref="A1:P1"/>
    <mergeCell ref="B5:B6"/>
    <mergeCell ref="B9:B10"/>
    <mergeCell ref="A11:B12"/>
    <mergeCell ref="B13:B14"/>
    <mergeCell ref="B31:B32"/>
    <mergeCell ref="B33:B34"/>
    <mergeCell ref="B15:B16"/>
    <mergeCell ref="B17:B18"/>
    <mergeCell ref="B21:B22"/>
    <mergeCell ref="B23:B24"/>
    <mergeCell ref="B25:B26"/>
    <mergeCell ref="B29:B30"/>
    <mergeCell ref="B37:B38"/>
    <mergeCell ref="A39:B40"/>
    <mergeCell ref="A41:B42"/>
    <mergeCell ref="A43:B44"/>
    <mergeCell ref="A45:B46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B88:B89"/>
    <mergeCell ref="A90:B91"/>
    <mergeCell ref="A92:B93"/>
    <mergeCell ref="A94:B95"/>
    <mergeCell ref="A96:B97"/>
    <mergeCell ref="B130:B131"/>
    <mergeCell ref="A98:B99"/>
    <mergeCell ref="A100:B101"/>
    <mergeCell ref="A102:B103"/>
    <mergeCell ref="A104:B105"/>
    <mergeCell ref="B106:B107"/>
    <mergeCell ref="B108:B109"/>
    <mergeCell ref="B132:B133"/>
    <mergeCell ref="B118:B119"/>
    <mergeCell ref="B120:B121"/>
    <mergeCell ref="B122:B123"/>
    <mergeCell ref="B124:B125"/>
    <mergeCell ref="B110:B111"/>
    <mergeCell ref="B112:B113"/>
    <mergeCell ref="B114:B115"/>
    <mergeCell ref="B116:B117"/>
    <mergeCell ref="B128:B129"/>
  </mergeCells>
  <printOptions/>
  <pageMargins left="0.7" right="0.7" top="0.75" bottom="0.75" header="0.3" footer="0.3"/>
  <pageSetup firstPageNumber="45" useFirstPageNumber="1" fitToHeight="2" fitToWidth="1" horizontalDpi="600" verticalDpi="600" orientation="landscape" paperSize="9" scale="36" r:id="rId1"/>
  <rowBreaks count="1" manualBreakCount="1">
    <brk id="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="50" zoomScaleNormal="50" zoomScalePageLayoutView="0" workbookViewId="0" topLeftCell="A1">
      <pane xSplit="3" ySplit="4" topLeftCell="D5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8" width="22.625" style="11" customWidth="1"/>
    <col min="9" max="9" width="22.625" style="70" customWidth="1"/>
    <col min="10" max="15" width="22.625" style="11" customWidth="1"/>
    <col min="16" max="16" width="25.625" style="37" customWidth="1"/>
    <col min="17" max="16384" width="9.00390625" style="38" customWidth="1"/>
  </cols>
  <sheetData>
    <row r="1" spans="1:16" ht="30.75" customHeight="1">
      <c r="A1" s="375" t="s">
        <v>104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ht="30.75" customHeight="1">
      <c r="B2" s="36"/>
    </row>
    <row r="3" spans="1:15" ht="19.5" customHeight="1" thickBot="1">
      <c r="A3" s="12" t="s">
        <v>105</v>
      </c>
      <c r="B3" s="39"/>
      <c r="C3" s="12"/>
      <c r="O3" s="68" t="s">
        <v>90</v>
      </c>
    </row>
    <row r="4" spans="1:16" ht="19.5" customHeight="1">
      <c r="A4" s="40"/>
      <c r="B4" s="41"/>
      <c r="C4" s="119"/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82" t="s">
        <v>7</v>
      </c>
      <c r="J4" s="42" t="s">
        <v>8</v>
      </c>
      <c r="K4" s="42" t="s">
        <v>9</v>
      </c>
      <c r="L4" s="42" t="s">
        <v>10</v>
      </c>
      <c r="M4" s="42" t="s">
        <v>11</v>
      </c>
      <c r="N4" s="42" t="s">
        <v>12</v>
      </c>
      <c r="O4" s="42" t="s">
        <v>13</v>
      </c>
      <c r="P4" s="43" t="s">
        <v>14</v>
      </c>
    </row>
    <row r="5" spans="1:16" ht="19.5" customHeight="1">
      <c r="A5" s="44" t="s">
        <v>0</v>
      </c>
      <c r="B5" s="382" t="s">
        <v>15</v>
      </c>
      <c r="C5" s="140" t="s">
        <v>16</v>
      </c>
      <c r="D5" s="284">
        <v>930.7952</v>
      </c>
      <c r="E5" s="284">
        <v>117.8254</v>
      </c>
      <c r="F5" s="296">
        <v>0.042</v>
      </c>
      <c r="G5" s="297"/>
      <c r="H5" s="298">
        <v>168.849</v>
      </c>
      <c r="I5" s="285">
        <v>0.208</v>
      </c>
      <c r="J5" s="284">
        <v>2.645</v>
      </c>
      <c r="K5" s="284">
        <v>0.1065</v>
      </c>
      <c r="L5" s="284"/>
      <c r="M5" s="285">
        <v>0.928</v>
      </c>
      <c r="N5" s="285">
        <v>1269.5125</v>
      </c>
      <c r="O5" s="284">
        <v>942.1118</v>
      </c>
      <c r="P5" s="8">
        <f aca="true" t="shared" si="0" ref="P5:P36">SUM(D5:O5)</f>
        <v>3433.0234000000005</v>
      </c>
    </row>
    <row r="6" spans="1:16" ht="19.5" customHeight="1">
      <c r="A6" s="44" t="s">
        <v>17</v>
      </c>
      <c r="B6" s="383"/>
      <c r="C6" s="48" t="s">
        <v>18</v>
      </c>
      <c r="D6" s="288">
        <v>115981.372</v>
      </c>
      <c r="E6" s="288">
        <v>7129.437</v>
      </c>
      <c r="F6" s="299">
        <v>4.662</v>
      </c>
      <c r="G6" s="288"/>
      <c r="H6" s="290">
        <v>14123.262</v>
      </c>
      <c r="I6" s="289">
        <v>9.228</v>
      </c>
      <c r="J6" s="288">
        <v>497.139</v>
      </c>
      <c r="K6" s="288">
        <v>6.861</v>
      </c>
      <c r="L6" s="288"/>
      <c r="M6" s="289">
        <v>20.218</v>
      </c>
      <c r="N6" s="289">
        <v>24656.128</v>
      </c>
      <c r="O6" s="288">
        <v>42221.267</v>
      </c>
      <c r="P6" s="9">
        <f t="shared" si="0"/>
        <v>204649.574</v>
      </c>
    </row>
    <row r="7" spans="1:16" ht="19.5" customHeight="1">
      <c r="A7" s="44" t="s">
        <v>19</v>
      </c>
      <c r="B7" s="47" t="s">
        <v>20</v>
      </c>
      <c r="C7" s="54" t="s">
        <v>16</v>
      </c>
      <c r="D7" s="284">
        <v>287.133</v>
      </c>
      <c r="E7" s="284">
        <v>121.7705</v>
      </c>
      <c r="F7" s="296">
        <v>6.053</v>
      </c>
      <c r="G7" s="284">
        <v>12.908</v>
      </c>
      <c r="H7" s="286">
        <v>4.4575</v>
      </c>
      <c r="I7" s="285">
        <v>136.005</v>
      </c>
      <c r="J7" s="284">
        <v>18.352</v>
      </c>
      <c r="K7" s="284">
        <v>28.118</v>
      </c>
      <c r="L7" s="284">
        <v>17.636</v>
      </c>
      <c r="M7" s="285">
        <v>5.576</v>
      </c>
      <c r="N7" s="285">
        <v>60.281</v>
      </c>
      <c r="O7" s="284">
        <v>114.421</v>
      </c>
      <c r="P7" s="8">
        <f t="shared" si="0"/>
        <v>812.711</v>
      </c>
    </row>
    <row r="8" spans="1:16" ht="19.5" customHeight="1">
      <c r="A8" s="44" t="s">
        <v>21</v>
      </c>
      <c r="B8" s="48" t="s">
        <v>22</v>
      </c>
      <c r="C8" s="48" t="s">
        <v>18</v>
      </c>
      <c r="D8" s="288">
        <v>14539.151</v>
      </c>
      <c r="E8" s="288">
        <v>6480.712</v>
      </c>
      <c r="F8" s="300">
        <v>285.744</v>
      </c>
      <c r="G8" s="288">
        <v>668.385</v>
      </c>
      <c r="H8" s="290">
        <v>213.305</v>
      </c>
      <c r="I8" s="301">
        <v>7724.636</v>
      </c>
      <c r="J8" s="302">
        <v>728.674</v>
      </c>
      <c r="K8" s="302">
        <v>1497.872</v>
      </c>
      <c r="L8" s="302">
        <v>649.275</v>
      </c>
      <c r="M8" s="301">
        <v>105.726</v>
      </c>
      <c r="N8" s="289">
        <v>1783.403</v>
      </c>
      <c r="O8" s="288">
        <v>3316.873</v>
      </c>
      <c r="P8" s="9">
        <f t="shared" si="0"/>
        <v>37993.755999999994</v>
      </c>
    </row>
    <row r="9" spans="1:16" ht="19.5" customHeight="1">
      <c r="A9" s="44" t="s">
        <v>23</v>
      </c>
      <c r="B9" s="380" t="s">
        <v>114</v>
      </c>
      <c r="C9" s="54" t="s">
        <v>16</v>
      </c>
      <c r="D9" s="26">
        <f aca="true" t="shared" si="1" ref="D9:K9">+D5+D7</f>
        <v>1217.9282</v>
      </c>
      <c r="E9" s="26">
        <f t="shared" si="1"/>
        <v>239.5959</v>
      </c>
      <c r="F9" s="26">
        <f t="shared" si="1"/>
        <v>6.095</v>
      </c>
      <c r="G9" s="26">
        <f t="shared" si="1"/>
        <v>12.908</v>
      </c>
      <c r="H9" s="26">
        <f t="shared" si="1"/>
        <v>173.3065</v>
      </c>
      <c r="I9" s="28">
        <f t="shared" si="1"/>
        <v>136.213</v>
      </c>
      <c r="J9" s="26">
        <f t="shared" si="1"/>
        <v>20.997</v>
      </c>
      <c r="K9" s="26">
        <f t="shared" si="1"/>
        <v>28.2245</v>
      </c>
      <c r="L9" s="28">
        <f>+L5+L7</f>
        <v>17.636</v>
      </c>
      <c r="M9" s="28">
        <f aca="true" t="shared" si="2" ref="M9:O10">+M5+M7</f>
        <v>6.504</v>
      </c>
      <c r="N9" s="28">
        <f t="shared" si="2"/>
        <v>1329.7935</v>
      </c>
      <c r="O9" s="28">
        <f t="shared" si="2"/>
        <v>1056.5328</v>
      </c>
      <c r="P9" s="8">
        <f>SUM(D9:O9)</f>
        <v>4245.734399999999</v>
      </c>
    </row>
    <row r="10" spans="1:16" ht="19.5" customHeight="1">
      <c r="A10" s="49"/>
      <c r="B10" s="381"/>
      <c r="C10" s="48" t="s">
        <v>18</v>
      </c>
      <c r="D10" s="25">
        <f aca="true" t="shared" si="3" ref="D10:K10">+D6+D8</f>
        <v>130520.523</v>
      </c>
      <c r="E10" s="25">
        <f t="shared" si="3"/>
        <v>13610.149000000001</v>
      </c>
      <c r="F10" s="25">
        <f t="shared" si="3"/>
        <v>290.406</v>
      </c>
      <c r="G10" s="25">
        <f t="shared" si="3"/>
        <v>668.385</v>
      </c>
      <c r="H10" s="25">
        <f t="shared" si="3"/>
        <v>14336.567000000001</v>
      </c>
      <c r="I10" s="86">
        <f t="shared" si="3"/>
        <v>7733.8640000000005</v>
      </c>
      <c r="J10" s="25">
        <f t="shared" si="3"/>
        <v>1225.813</v>
      </c>
      <c r="K10" s="25">
        <f t="shared" si="3"/>
        <v>1504.7330000000002</v>
      </c>
      <c r="L10" s="86">
        <f>+L6+L8</f>
        <v>649.275</v>
      </c>
      <c r="M10" s="86">
        <f t="shared" si="2"/>
        <v>125.944</v>
      </c>
      <c r="N10" s="86">
        <f t="shared" si="2"/>
        <v>26439.531</v>
      </c>
      <c r="O10" s="86">
        <f t="shared" si="2"/>
        <v>45538.14</v>
      </c>
      <c r="P10" s="9">
        <f>SUM(D10:O10)</f>
        <v>242643.32999999996</v>
      </c>
    </row>
    <row r="11" spans="1:16" ht="19.5" customHeight="1">
      <c r="A11" s="376" t="s">
        <v>25</v>
      </c>
      <c r="B11" s="377"/>
      <c r="C11" s="54" t="s">
        <v>16</v>
      </c>
      <c r="D11" s="284"/>
      <c r="E11" s="284"/>
      <c r="F11" s="296">
        <v>0.29</v>
      </c>
      <c r="G11" s="284"/>
      <c r="H11" s="286"/>
      <c r="I11" s="285">
        <v>481.074</v>
      </c>
      <c r="J11" s="284">
        <v>688.449</v>
      </c>
      <c r="K11" s="284">
        <v>961.5307</v>
      </c>
      <c r="L11" s="284">
        <v>802.5177</v>
      </c>
      <c r="M11" s="285">
        <v>2.542</v>
      </c>
      <c r="N11" s="285">
        <v>0.252</v>
      </c>
      <c r="O11" s="284"/>
      <c r="P11" s="8">
        <f t="shared" si="0"/>
        <v>2936.6554</v>
      </c>
    </row>
    <row r="12" spans="1:16" ht="19.5" customHeight="1">
      <c r="A12" s="378"/>
      <c r="B12" s="379"/>
      <c r="C12" s="48" t="s">
        <v>18</v>
      </c>
      <c r="D12" s="288"/>
      <c r="E12" s="302"/>
      <c r="F12" s="300">
        <v>76.125</v>
      </c>
      <c r="G12" s="288"/>
      <c r="H12" s="290"/>
      <c r="I12" s="289">
        <v>71577.908</v>
      </c>
      <c r="J12" s="288">
        <v>110452.051</v>
      </c>
      <c r="K12" s="288">
        <v>182441.53</v>
      </c>
      <c r="L12" s="288">
        <v>227048.248</v>
      </c>
      <c r="M12" s="289">
        <v>192.216</v>
      </c>
      <c r="N12" s="289">
        <v>8.624</v>
      </c>
      <c r="O12" s="288"/>
      <c r="P12" s="9">
        <f t="shared" si="0"/>
        <v>591796.7019999999</v>
      </c>
    </row>
    <row r="13" spans="1:16" ht="19.5" customHeight="1">
      <c r="A13" s="50"/>
      <c r="B13" s="382" t="s">
        <v>26</v>
      </c>
      <c r="C13" s="54" t="s">
        <v>16</v>
      </c>
      <c r="D13" s="284"/>
      <c r="E13" s="284"/>
      <c r="F13" s="296"/>
      <c r="G13" s="284"/>
      <c r="H13" s="286">
        <v>0.453</v>
      </c>
      <c r="I13" s="285">
        <v>4.429</v>
      </c>
      <c r="J13" s="284">
        <v>0.191</v>
      </c>
      <c r="K13" s="284">
        <v>0.206</v>
      </c>
      <c r="L13" s="284">
        <v>0.175</v>
      </c>
      <c r="M13" s="285">
        <v>0.195</v>
      </c>
      <c r="N13" s="285"/>
      <c r="O13" s="284"/>
      <c r="P13" s="8">
        <f t="shared" si="0"/>
        <v>5.649000000000001</v>
      </c>
    </row>
    <row r="14" spans="1:16" ht="19.5" customHeight="1">
      <c r="A14" s="44" t="s">
        <v>0</v>
      </c>
      <c r="B14" s="383"/>
      <c r="C14" s="48" t="s">
        <v>18</v>
      </c>
      <c r="D14" s="288"/>
      <c r="E14" s="288"/>
      <c r="F14" s="300"/>
      <c r="G14" s="288"/>
      <c r="H14" s="290">
        <v>1219.249</v>
      </c>
      <c r="I14" s="289">
        <v>8384.98</v>
      </c>
      <c r="J14" s="288">
        <v>526.111</v>
      </c>
      <c r="K14" s="288">
        <v>757.949</v>
      </c>
      <c r="L14" s="288">
        <v>673.828</v>
      </c>
      <c r="M14" s="289">
        <v>549.516</v>
      </c>
      <c r="N14" s="289"/>
      <c r="O14" s="288"/>
      <c r="P14" s="9">
        <f t="shared" si="0"/>
        <v>12111.633</v>
      </c>
    </row>
    <row r="15" spans="1:16" ht="19.5" customHeight="1">
      <c r="A15" s="44" t="s">
        <v>27</v>
      </c>
      <c r="B15" s="382" t="s">
        <v>28</v>
      </c>
      <c r="C15" s="54" t="s">
        <v>16</v>
      </c>
      <c r="D15" s="284"/>
      <c r="E15" s="284"/>
      <c r="F15" s="296"/>
      <c r="G15" s="284">
        <v>0.036</v>
      </c>
      <c r="H15" s="286">
        <v>0.0567</v>
      </c>
      <c r="I15" s="285">
        <v>10.4604</v>
      </c>
      <c r="J15" s="284">
        <v>0.771</v>
      </c>
      <c r="K15" s="284">
        <v>0.3979</v>
      </c>
      <c r="L15" s="284">
        <v>0.2315</v>
      </c>
      <c r="M15" s="285">
        <v>0.485</v>
      </c>
      <c r="N15" s="285">
        <v>0.2964</v>
      </c>
      <c r="O15" s="284">
        <v>0.2885</v>
      </c>
      <c r="P15" s="8">
        <f t="shared" si="0"/>
        <v>13.023400000000002</v>
      </c>
    </row>
    <row r="16" spans="1:16" ht="19.5" customHeight="1">
      <c r="A16" s="44" t="s">
        <v>0</v>
      </c>
      <c r="B16" s="383"/>
      <c r="C16" s="48" t="s">
        <v>18</v>
      </c>
      <c r="D16" s="288"/>
      <c r="E16" s="288"/>
      <c r="F16" s="300"/>
      <c r="G16" s="288">
        <v>80.495</v>
      </c>
      <c r="H16" s="290">
        <v>95.107</v>
      </c>
      <c r="I16" s="289">
        <v>11057.102</v>
      </c>
      <c r="J16" s="288">
        <v>953.704</v>
      </c>
      <c r="K16" s="288">
        <v>783.127</v>
      </c>
      <c r="L16" s="288">
        <v>443.255</v>
      </c>
      <c r="M16" s="289">
        <v>939.878</v>
      </c>
      <c r="N16" s="289">
        <v>389.275</v>
      </c>
      <c r="O16" s="288">
        <v>878.62</v>
      </c>
      <c r="P16" s="9">
        <f t="shared" si="0"/>
        <v>15620.563000000002</v>
      </c>
    </row>
    <row r="17" spans="1:16" ht="19.5" customHeight="1">
      <c r="A17" s="44" t="s">
        <v>29</v>
      </c>
      <c r="B17" s="382" t="s">
        <v>30</v>
      </c>
      <c r="C17" s="54" t="s">
        <v>16</v>
      </c>
      <c r="D17" s="284"/>
      <c r="E17" s="284"/>
      <c r="F17" s="296"/>
      <c r="G17" s="284"/>
      <c r="H17" s="286"/>
      <c r="I17" s="285">
        <v>9.494</v>
      </c>
      <c r="J17" s="284">
        <v>22.084</v>
      </c>
      <c r="K17" s="284">
        <v>28.535</v>
      </c>
      <c r="L17" s="284">
        <v>44.118</v>
      </c>
      <c r="M17" s="285"/>
      <c r="N17" s="285"/>
      <c r="O17" s="284"/>
      <c r="P17" s="8">
        <f t="shared" si="0"/>
        <v>104.231</v>
      </c>
    </row>
    <row r="18" spans="1:16" ht="19.5" customHeight="1">
      <c r="A18" s="50"/>
      <c r="B18" s="383"/>
      <c r="C18" s="48" t="s">
        <v>18</v>
      </c>
      <c r="D18" s="288"/>
      <c r="E18" s="288"/>
      <c r="F18" s="300"/>
      <c r="G18" s="288"/>
      <c r="H18" s="290"/>
      <c r="I18" s="289">
        <v>2411.686</v>
      </c>
      <c r="J18" s="288">
        <v>4505.262</v>
      </c>
      <c r="K18" s="288">
        <v>8258.746</v>
      </c>
      <c r="L18" s="288">
        <v>13397.019</v>
      </c>
      <c r="M18" s="289"/>
      <c r="N18" s="289"/>
      <c r="O18" s="288"/>
      <c r="P18" s="9">
        <f t="shared" si="0"/>
        <v>28572.713</v>
      </c>
    </row>
    <row r="19" spans="1:16" ht="19.5" customHeight="1">
      <c r="A19" s="44" t="s">
        <v>31</v>
      </c>
      <c r="B19" s="148" t="s">
        <v>108</v>
      </c>
      <c r="C19" s="54" t="s">
        <v>16</v>
      </c>
      <c r="D19" s="284"/>
      <c r="E19" s="284"/>
      <c r="F19" s="296"/>
      <c r="G19" s="284"/>
      <c r="H19" s="286"/>
      <c r="I19" s="285">
        <v>0.25</v>
      </c>
      <c r="J19" s="284">
        <v>25.097</v>
      </c>
      <c r="K19" s="284">
        <v>6.682</v>
      </c>
      <c r="L19" s="284">
        <v>5.2</v>
      </c>
      <c r="M19" s="285"/>
      <c r="N19" s="285"/>
      <c r="O19" s="284"/>
      <c r="P19" s="8">
        <f t="shared" si="0"/>
        <v>37.229000000000006</v>
      </c>
    </row>
    <row r="20" spans="1:16" ht="19.5" customHeight="1">
      <c r="A20" s="50"/>
      <c r="B20" s="46" t="s">
        <v>109</v>
      </c>
      <c r="C20" s="48" t="s">
        <v>18</v>
      </c>
      <c r="D20" s="288"/>
      <c r="E20" s="288"/>
      <c r="F20" s="300"/>
      <c r="G20" s="288"/>
      <c r="H20" s="290"/>
      <c r="I20" s="289">
        <v>51.3</v>
      </c>
      <c r="J20" s="288">
        <v>7190.71</v>
      </c>
      <c r="K20" s="288">
        <v>1581.867</v>
      </c>
      <c r="L20" s="288">
        <v>1409.19</v>
      </c>
      <c r="M20" s="289"/>
      <c r="N20" s="289"/>
      <c r="O20" s="288"/>
      <c r="P20" s="9">
        <f t="shared" si="0"/>
        <v>10233.067000000001</v>
      </c>
    </row>
    <row r="21" spans="1:16" ht="19.5" customHeight="1">
      <c r="A21" s="44" t="s">
        <v>23</v>
      </c>
      <c r="B21" s="382" t="s">
        <v>32</v>
      </c>
      <c r="C21" s="54" t="s">
        <v>16</v>
      </c>
      <c r="D21" s="284"/>
      <c r="E21" s="284"/>
      <c r="F21" s="296"/>
      <c r="G21" s="284"/>
      <c r="H21" s="286"/>
      <c r="I21" s="285">
        <v>131.054</v>
      </c>
      <c r="J21" s="284">
        <v>225.738</v>
      </c>
      <c r="K21" s="284">
        <v>0.426</v>
      </c>
      <c r="L21" s="284">
        <v>4.665</v>
      </c>
      <c r="M21" s="285"/>
      <c r="N21" s="285"/>
      <c r="O21" s="284"/>
      <c r="P21" s="8">
        <f t="shared" si="0"/>
        <v>361.88300000000004</v>
      </c>
    </row>
    <row r="22" spans="1:16" ht="19.5" customHeight="1">
      <c r="A22" s="50"/>
      <c r="B22" s="383"/>
      <c r="C22" s="48" t="s">
        <v>18</v>
      </c>
      <c r="D22" s="288"/>
      <c r="E22" s="288"/>
      <c r="F22" s="300"/>
      <c r="G22" s="288"/>
      <c r="H22" s="290"/>
      <c r="I22" s="289">
        <v>35583.019</v>
      </c>
      <c r="J22" s="288">
        <v>59459.626</v>
      </c>
      <c r="K22" s="288">
        <v>147.226</v>
      </c>
      <c r="L22" s="288">
        <v>1560.108</v>
      </c>
      <c r="M22" s="289"/>
      <c r="N22" s="289"/>
      <c r="O22" s="288"/>
      <c r="P22" s="9">
        <f t="shared" si="0"/>
        <v>96749.97899999998</v>
      </c>
    </row>
    <row r="23" spans="1:16" ht="19.5" customHeight="1">
      <c r="A23" s="50"/>
      <c r="B23" s="380" t="s">
        <v>114</v>
      </c>
      <c r="C23" s="54" t="s">
        <v>16</v>
      </c>
      <c r="D23" s="26"/>
      <c r="E23" s="26"/>
      <c r="F23" s="26"/>
      <c r="G23" s="26">
        <f aca="true" t="shared" si="4" ref="G23:L24">+G13+G15+G17+G19+G21</f>
        <v>0.036</v>
      </c>
      <c r="H23" s="26">
        <f t="shared" si="4"/>
        <v>0.5097</v>
      </c>
      <c r="I23" s="28">
        <f t="shared" si="4"/>
        <v>155.6874</v>
      </c>
      <c r="J23" s="26">
        <f t="shared" si="4"/>
        <v>273.881</v>
      </c>
      <c r="K23" s="26">
        <f t="shared" si="4"/>
        <v>36.246900000000004</v>
      </c>
      <c r="L23" s="28">
        <f t="shared" si="4"/>
        <v>54.389500000000005</v>
      </c>
      <c r="M23" s="28">
        <f aca="true" t="shared" si="5" ref="M23:O24">+M13+M15+M17+M19+M21</f>
        <v>0.6799999999999999</v>
      </c>
      <c r="N23" s="28">
        <f t="shared" si="5"/>
        <v>0.2964</v>
      </c>
      <c r="O23" s="28">
        <f t="shared" si="5"/>
        <v>0.2885</v>
      </c>
      <c r="P23" s="8">
        <f>SUM(D23:O23)</f>
        <v>522.0153999999999</v>
      </c>
    </row>
    <row r="24" spans="1:16" ht="19.5" customHeight="1">
      <c r="A24" s="49"/>
      <c r="B24" s="381"/>
      <c r="C24" s="48" t="s">
        <v>18</v>
      </c>
      <c r="D24" s="25"/>
      <c r="E24" s="25"/>
      <c r="F24" s="25"/>
      <c r="G24" s="25">
        <f t="shared" si="4"/>
        <v>80.495</v>
      </c>
      <c r="H24" s="25">
        <f t="shared" si="4"/>
        <v>1314.356</v>
      </c>
      <c r="I24" s="86">
        <f t="shared" si="4"/>
        <v>57488.087</v>
      </c>
      <c r="J24" s="25">
        <f t="shared" si="4"/>
        <v>72635.413</v>
      </c>
      <c r="K24" s="25">
        <f t="shared" si="4"/>
        <v>11528.915</v>
      </c>
      <c r="L24" s="86">
        <f t="shared" si="4"/>
        <v>17483.4</v>
      </c>
      <c r="M24" s="86">
        <f t="shared" si="5"/>
        <v>1489.394</v>
      </c>
      <c r="N24" s="86">
        <f t="shared" si="5"/>
        <v>389.275</v>
      </c>
      <c r="O24" s="86">
        <f t="shared" si="5"/>
        <v>878.62</v>
      </c>
      <c r="P24" s="9">
        <f>SUM(D24:O24)</f>
        <v>163287.955</v>
      </c>
    </row>
    <row r="25" spans="1:16" ht="19.5" customHeight="1">
      <c r="A25" s="44" t="s">
        <v>0</v>
      </c>
      <c r="B25" s="382" t="s">
        <v>33</v>
      </c>
      <c r="C25" s="54" t="s">
        <v>16</v>
      </c>
      <c r="D25" s="284"/>
      <c r="E25" s="284"/>
      <c r="F25" s="296"/>
      <c r="G25" s="284"/>
      <c r="H25" s="286"/>
      <c r="I25" s="285">
        <v>0.068</v>
      </c>
      <c r="J25" s="284"/>
      <c r="K25" s="284"/>
      <c r="L25" s="284"/>
      <c r="M25" s="285"/>
      <c r="N25" s="285">
        <v>0.051</v>
      </c>
      <c r="O25" s="284"/>
      <c r="P25" s="8">
        <f t="shared" si="0"/>
        <v>0.119</v>
      </c>
    </row>
    <row r="26" spans="1:16" ht="19.5" customHeight="1">
      <c r="A26" s="44" t="s">
        <v>34</v>
      </c>
      <c r="B26" s="383"/>
      <c r="C26" s="48" t="s">
        <v>18</v>
      </c>
      <c r="D26" s="288"/>
      <c r="E26" s="288"/>
      <c r="F26" s="300"/>
      <c r="G26" s="288"/>
      <c r="H26" s="290"/>
      <c r="I26" s="289">
        <v>44.064</v>
      </c>
      <c r="J26" s="288"/>
      <c r="K26" s="288"/>
      <c r="L26" s="288"/>
      <c r="M26" s="289"/>
      <c r="N26" s="289">
        <v>44.339</v>
      </c>
      <c r="O26" s="288"/>
      <c r="P26" s="9">
        <f t="shared" si="0"/>
        <v>88.40299999999999</v>
      </c>
    </row>
    <row r="27" spans="1:16" ht="19.5" customHeight="1">
      <c r="A27" s="44" t="s">
        <v>35</v>
      </c>
      <c r="B27" s="47" t="s">
        <v>20</v>
      </c>
      <c r="C27" s="54" t="s">
        <v>16</v>
      </c>
      <c r="D27" s="284"/>
      <c r="E27" s="284"/>
      <c r="F27" s="303"/>
      <c r="G27" s="284"/>
      <c r="H27" s="286"/>
      <c r="I27" s="285"/>
      <c r="J27" s="284"/>
      <c r="K27" s="284">
        <v>0.203</v>
      </c>
      <c r="L27" s="304">
        <v>0.04</v>
      </c>
      <c r="M27" s="305"/>
      <c r="N27" s="285"/>
      <c r="O27" s="284"/>
      <c r="P27" s="8">
        <f t="shared" si="0"/>
        <v>0.24300000000000002</v>
      </c>
    </row>
    <row r="28" spans="1:16" ht="19.5" customHeight="1">
      <c r="A28" s="44" t="s">
        <v>36</v>
      </c>
      <c r="B28" s="48" t="s">
        <v>110</v>
      </c>
      <c r="C28" s="48" t="s">
        <v>18</v>
      </c>
      <c r="D28" s="288"/>
      <c r="E28" s="288"/>
      <c r="F28" s="300"/>
      <c r="G28" s="288"/>
      <c r="H28" s="290"/>
      <c r="I28" s="289"/>
      <c r="J28" s="302"/>
      <c r="K28" s="288">
        <v>67.765</v>
      </c>
      <c r="L28" s="288">
        <v>45.792</v>
      </c>
      <c r="M28" s="289"/>
      <c r="N28" s="289"/>
      <c r="O28" s="288"/>
      <c r="P28" s="9">
        <f t="shared" si="0"/>
        <v>113.557</v>
      </c>
    </row>
    <row r="29" spans="1:16" ht="19.5" customHeight="1">
      <c r="A29" s="44" t="s">
        <v>23</v>
      </c>
      <c r="B29" s="380" t="s">
        <v>114</v>
      </c>
      <c r="C29" s="54" t="s">
        <v>16</v>
      </c>
      <c r="D29" s="26"/>
      <c r="E29" s="26"/>
      <c r="F29" s="26"/>
      <c r="G29" s="26"/>
      <c r="H29" s="26"/>
      <c r="I29" s="26">
        <f>+I25+I27</f>
        <v>0.068</v>
      </c>
      <c r="J29" s="26"/>
      <c r="K29" s="26">
        <f>+K25+K27</f>
        <v>0.203</v>
      </c>
      <c r="L29" s="28">
        <f aca="true" t="shared" si="6" ref="L29:N30">+L25+L27</f>
        <v>0.04</v>
      </c>
      <c r="M29" s="28"/>
      <c r="N29" s="28">
        <f t="shared" si="6"/>
        <v>0.051</v>
      </c>
      <c r="O29" s="28"/>
      <c r="P29" s="8">
        <f>SUM(D29:O29)</f>
        <v>0.362</v>
      </c>
    </row>
    <row r="30" spans="1:16" ht="19.5" customHeight="1">
      <c r="A30" s="49"/>
      <c r="B30" s="381"/>
      <c r="C30" s="48" t="s">
        <v>18</v>
      </c>
      <c r="D30" s="25"/>
      <c r="E30" s="25"/>
      <c r="F30" s="25"/>
      <c r="G30" s="25"/>
      <c r="H30" s="25"/>
      <c r="I30" s="25">
        <f>+I26+I28</f>
        <v>44.064</v>
      </c>
      <c r="J30" s="25"/>
      <c r="K30" s="25">
        <f>+K26+K28</f>
        <v>67.765</v>
      </c>
      <c r="L30" s="86">
        <f t="shared" si="6"/>
        <v>45.792</v>
      </c>
      <c r="M30" s="86"/>
      <c r="N30" s="86">
        <f t="shared" si="6"/>
        <v>44.339</v>
      </c>
      <c r="O30" s="86"/>
      <c r="P30" s="9">
        <f>SUM(D30:O30)</f>
        <v>201.96</v>
      </c>
    </row>
    <row r="31" spans="1:16" ht="19.5" customHeight="1">
      <c r="A31" s="44" t="s">
        <v>0</v>
      </c>
      <c r="B31" s="382" t="s">
        <v>37</v>
      </c>
      <c r="C31" s="54" t="s">
        <v>16</v>
      </c>
      <c r="D31" s="284">
        <v>392.7666</v>
      </c>
      <c r="E31" s="284">
        <v>123.8362</v>
      </c>
      <c r="F31" s="296">
        <v>95.358</v>
      </c>
      <c r="G31" s="284">
        <v>91.7319</v>
      </c>
      <c r="H31" s="286">
        <v>46.0434</v>
      </c>
      <c r="I31" s="285">
        <v>118.5042</v>
      </c>
      <c r="J31" s="284">
        <v>22.93</v>
      </c>
      <c r="K31" s="284">
        <v>63.757</v>
      </c>
      <c r="L31" s="284">
        <v>155.6473</v>
      </c>
      <c r="M31" s="285">
        <v>45.6083</v>
      </c>
      <c r="N31" s="285">
        <v>33.3515</v>
      </c>
      <c r="O31" s="284">
        <v>45.3317</v>
      </c>
      <c r="P31" s="8">
        <f t="shared" si="0"/>
        <v>1234.8661</v>
      </c>
    </row>
    <row r="32" spans="1:16" ht="19.5" customHeight="1">
      <c r="A32" s="44" t="s">
        <v>38</v>
      </c>
      <c r="B32" s="383"/>
      <c r="C32" s="48" t="s">
        <v>18</v>
      </c>
      <c r="D32" s="288">
        <v>46784.834</v>
      </c>
      <c r="E32" s="288">
        <v>17944.222</v>
      </c>
      <c r="F32" s="300">
        <v>14321.917</v>
      </c>
      <c r="G32" s="288">
        <v>12986.864</v>
      </c>
      <c r="H32" s="290">
        <v>5813.806</v>
      </c>
      <c r="I32" s="289">
        <v>11887.609</v>
      </c>
      <c r="J32" s="288">
        <v>3845.887</v>
      </c>
      <c r="K32" s="288">
        <v>15477.266</v>
      </c>
      <c r="L32" s="288">
        <v>16363.119</v>
      </c>
      <c r="M32" s="289">
        <v>6678.733</v>
      </c>
      <c r="N32" s="289">
        <v>11778.531</v>
      </c>
      <c r="O32" s="288">
        <v>9260.074</v>
      </c>
      <c r="P32" s="9">
        <f t="shared" si="0"/>
        <v>173142.862</v>
      </c>
    </row>
    <row r="33" spans="1:16" ht="19.5" customHeight="1">
      <c r="A33" s="44" t="s">
        <v>0</v>
      </c>
      <c r="B33" s="382" t="s">
        <v>39</v>
      </c>
      <c r="C33" s="54" t="s">
        <v>16</v>
      </c>
      <c r="D33" s="284">
        <v>9.9929</v>
      </c>
      <c r="E33" s="284">
        <v>65.4605</v>
      </c>
      <c r="F33" s="296">
        <v>138.872</v>
      </c>
      <c r="G33" s="284">
        <v>227.9256</v>
      </c>
      <c r="H33" s="286">
        <v>366.1575</v>
      </c>
      <c r="I33" s="285">
        <v>43.374</v>
      </c>
      <c r="J33" s="284">
        <v>0.583</v>
      </c>
      <c r="K33" s="284">
        <v>2.202</v>
      </c>
      <c r="L33" s="284">
        <v>2.1935</v>
      </c>
      <c r="M33" s="285">
        <v>1.4271</v>
      </c>
      <c r="N33" s="285">
        <v>2.1308</v>
      </c>
      <c r="O33" s="284">
        <v>18.6768</v>
      </c>
      <c r="P33" s="8">
        <f t="shared" si="0"/>
        <v>878.9956999999999</v>
      </c>
    </row>
    <row r="34" spans="1:16" ht="19.5" customHeight="1">
      <c r="A34" s="44" t="s">
        <v>40</v>
      </c>
      <c r="B34" s="383"/>
      <c r="C34" s="48" t="s">
        <v>18</v>
      </c>
      <c r="D34" s="288">
        <v>715.748</v>
      </c>
      <c r="E34" s="288">
        <v>4735.637</v>
      </c>
      <c r="F34" s="300">
        <v>10285.264</v>
      </c>
      <c r="G34" s="288">
        <v>16693.454</v>
      </c>
      <c r="H34" s="290">
        <v>25708.92</v>
      </c>
      <c r="I34" s="289">
        <v>3092.302</v>
      </c>
      <c r="J34" s="288">
        <v>4.121</v>
      </c>
      <c r="K34" s="288">
        <v>21.646</v>
      </c>
      <c r="L34" s="288">
        <v>101.943</v>
      </c>
      <c r="M34" s="289">
        <v>105.16</v>
      </c>
      <c r="N34" s="289">
        <v>165.743</v>
      </c>
      <c r="O34" s="288">
        <v>1514.457</v>
      </c>
      <c r="P34" s="9">
        <f t="shared" si="0"/>
        <v>63144.39500000001</v>
      </c>
    </row>
    <row r="35" spans="1:16" ht="19.5" customHeight="1">
      <c r="A35" s="50"/>
      <c r="B35" s="47" t="s">
        <v>20</v>
      </c>
      <c r="C35" s="54" t="s">
        <v>16</v>
      </c>
      <c r="D35" s="284">
        <v>0.404</v>
      </c>
      <c r="E35" s="284">
        <v>5.87</v>
      </c>
      <c r="F35" s="296">
        <v>4.546</v>
      </c>
      <c r="G35" s="284">
        <v>9.437</v>
      </c>
      <c r="H35" s="286">
        <v>36.22</v>
      </c>
      <c r="I35" s="285">
        <v>84.072</v>
      </c>
      <c r="J35" s="284">
        <v>5.226</v>
      </c>
      <c r="K35" s="284"/>
      <c r="L35" s="284">
        <v>33.558</v>
      </c>
      <c r="M35" s="285">
        <v>14.576</v>
      </c>
      <c r="N35" s="285">
        <v>0.062</v>
      </c>
      <c r="O35" s="284">
        <v>0.335</v>
      </c>
      <c r="P35" s="8">
        <f t="shared" si="0"/>
        <v>194.306</v>
      </c>
    </row>
    <row r="36" spans="1:16" ht="19.5" customHeight="1">
      <c r="A36" s="44" t="s">
        <v>23</v>
      </c>
      <c r="B36" s="48" t="s">
        <v>111</v>
      </c>
      <c r="C36" s="48" t="s">
        <v>18</v>
      </c>
      <c r="D36" s="288">
        <v>16.968</v>
      </c>
      <c r="E36" s="288">
        <v>326.661</v>
      </c>
      <c r="F36" s="300">
        <v>288.362</v>
      </c>
      <c r="G36" s="288">
        <v>616.201</v>
      </c>
      <c r="H36" s="290">
        <v>2470.11</v>
      </c>
      <c r="I36" s="289">
        <v>5349.162</v>
      </c>
      <c r="J36" s="288">
        <v>293.492</v>
      </c>
      <c r="K36" s="288"/>
      <c r="L36" s="288">
        <v>1581.233</v>
      </c>
      <c r="M36" s="289">
        <v>753.334</v>
      </c>
      <c r="N36" s="289">
        <v>3.348</v>
      </c>
      <c r="O36" s="288">
        <v>18.09</v>
      </c>
      <c r="P36" s="9">
        <f t="shared" si="0"/>
        <v>11716.961000000001</v>
      </c>
    </row>
    <row r="37" spans="1:16" ht="19.5" customHeight="1">
      <c r="A37" s="50"/>
      <c r="B37" s="380" t="s">
        <v>107</v>
      </c>
      <c r="C37" s="54" t="s">
        <v>16</v>
      </c>
      <c r="D37" s="26">
        <f aca="true" t="shared" si="7" ref="D37:K37">+D31+D33+D35</f>
        <v>403.1635</v>
      </c>
      <c r="E37" s="26">
        <f t="shared" si="7"/>
        <v>195.1667</v>
      </c>
      <c r="F37" s="26">
        <f t="shared" si="7"/>
        <v>238.776</v>
      </c>
      <c r="G37" s="26">
        <f t="shared" si="7"/>
        <v>329.09450000000004</v>
      </c>
      <c r="H37" s="26">
        <f t="shared" si="7"/>
        <v>448.4209000000001</v>
      </c>
      <c r="I37" s="28">
        <f t="shared" si="7"/>
        <v>245.9502</v>
      </c>
      <c r="J37" s="26">
        <f t="shared" si="7"/>
        <v>28.738999999999997</v>
      </c>
      <c r="K37" s="26">
        <f t="shared" si="7"/>
        <v>65.959</v>
      </c>
      <c r="L37" s="28">
        <f aca="true" t="shared" si="8" ref="L37:O38">+L31+L33+L35</f>
        <v>191.3988</v>
      </c>
      <c r="M37" s="28">
        <f t="shared" si="8"/>
        <v>61.6114</v>
      </c>
      <c r="N37" s="28">
        <f t="shared" si="8"/>
        <v>35.5443</v>
      </c>
      <c r="O37" s="28">
        <f t="shared" si="8"/>
        <v>64.34349999999999</v>
      </c>
      <c r="P37" s="8">
        <f>SUM(D37:O37)</f>
        <v>2308.1677999999997</v>
      </c>
    </row>
    <row r="38" spans="1:16" ht="19.5" customHeight="1">
      <c r="A38" s="49"/>
      <c r="B38" s="381"/>
      <c r="C38" s="48" t="s">
        <v>18</v>
      </c>
      <c r="D38" s="25">
        <f aca="true" t="shared" si="9" ref="D38:K38">+D32+D34+D36</f>
        <v>47517.55</v>
      </c>
      <c r="E38" s="25">
        <f t="shared" si="9"/>
        <v>23006.52</v>
      </c>
      <c r="F38" s="25">
        <f t="shared" si="9"/>
        <v>24895.542999999998</v>
      </c>
      <c r="G38" s="25">
        <f t="shared" si="9"/>
        <v>30296.519</v>
      </c>
      <c r="H38" s="25">
        <f t="shared" si="9"/>
        <v>33992.835999999996</v>
      </c>
      <c r="I38" s="86">
        <f t="shared" si="9"/>
        <v>20329.073</v>
      </c>
      <c r="J38" s="25">
        <f t="shared" si="9"/>
        <v>4143.5</v>
      </c>
      <c r="K38" s="25">
        <f t="shared" si="9"/>
        <v>15498.912</v>
      </c>
      <c r="L38" s="86">
        <f t="shared" si="8"/>
        <v>18046.295000000002</v>
      </c>
      <c r="M38" s="86">
        <f t="shared" si="8"/>
        <v>7537.227</v>
      </c>
      <c r="N38" s="86">
        <f t="shared" si="8"/>
        <v>11947.622000000001</v>
      </c>
      <c r="O38" s="86">
        <f t="shared" si="8"/>
        <v>10792.621000000001</v>
      </c>
      <c r="P38" s="9">
        <f>SUM(D38:O38)</f>
        <v>248004.21800000005</v>
      </c>
    </row>
    <row r="39" spans="1:16" ht="19.5" customHeight="1">
      <c r="A39" s="376" t="s">
        <v>41</v>
      </c>
      <c r="B39" s="377"/>
      <c r="C39" s="54" t="s">
        <v>16</v>
      </c>
      <c r="D39" s="284">
        <v>4.8543</v>
      </c>
      <c r="E39" s="284">
        <v>102.2915</v>
      </c>
      <c r="F39" s="296"/>
      <c r="G39" s="284"/>
      <c r="H39" s="286"/>
      <c r="I39" s="285">
        <v>1.6838</v>
      </c>
      <c r="J39" s="284">
        <v>89.8643</v>
      </c>
      <c r="K39" s="284">
        <v>249.2986</v>
      </c>
      <c r="L39" s="284">
        <v>61.9947</v>
      </c>
      <c r="M39" s="285">
        <v>3.9216</v>
      </c>
      <c r="N39" s="285">
        <v>15.8791</v>
      </c>
      <c r="O39" s="284">
        <v>2.5171</v>
      </c>
      <c r="P39" s="8">
        <f aca="true" t="shared" si="10" ref="P39:P68">SUM(D39:O39)</f>
        <v>532.305</v>
      </c>
    </row>
    <row r="40" spans="1:16" ht="19.5" customHeight="1">
      <c r="A40" s="378"/>
      <c r="B40" s="379"/>
      <c r="C40" s="48" t="s">
        <v>18</v>
      </c>
      <c r="D40" s="288">
        <v>257.813</v>
      </c>
      <c r="E40" s="288">
        <v>4983.318</v>
      </c>
      <c r="F40" s="300"/>
      <c r="G40" s="288"/>
      <c r="H40" s="290"/>
      <c r="I40" s="289">
        <v>666.724</v>
      </c>
      <c r="J40" s="288">
        <v>46352.971</v>
      </c>
      <c r="K40" s="288">
        <v>114615.988</v>
      </c>
      <c r="L40" s="288">
        <v>30085.975</v>
      </c>
      <c r="M40" s="289">
        <v>1633.545</v>
      </c>
      <c r="N40" s="289">
        <v>4833.866</v>
      </c>
      <c r="O40" s="288">
        <v>1139.617</v>
      </c>
      <c r="P40" s="9">
        <f t="shared" si="10"/>
        <v>204569.81700000004</v>
      </c>
    </row>
    <row r="41" spans="1:16" ht="19.5" customHeight="1">
      <c r="A41" s="376" t="s">
        <v>42</v>
      </c>
      <c r="B41" s="377"/>
      <c r="C41" s="54" t="s">
        <v>16</v>
      </c>
      <c r="D41" s="284">
        <v>11.3432</v>
      </c>
      <c r="E41" s="284">
        <v>0.373</v>
      </c>
      <c r="F41" s="296"/>
      <c r="G41" s="284"/>
      <c r="H41" s="286">
        <v>2.9033</v>
      </c>
      <c r="I41" s="285">
        <v>48.0861</v>
      </c>
      <c r="J41" s="284">
        <v>52.6618</v>
      </c>
      <c r="K41" s="284">
        <v>22.7669</v>
      </c>
      <c r="L41" s="284">
        <v>81.2071</v>
      </c>
      <c r="M41" s="285">
        <v>178.5041</v>
      </c>
      <c r="N41" s="285">
        <v>292.1104</v>
      </c>
      <c r="O41" s="284">
        <v>94.4375</v>
      </c>
      <c r="P41" s="8">
        <f t="shared" si="10"/>
        <v>784.3934</v>
      </c>
    </row>
    <row r="42" spans="1:16" ht="19.5" customHeight="1">
      <c r="A42" s="378"/>
      <c r="B42" s="379"/>
      <c r="C42" s="48" t="s">
        <v>18</v>
      </c>
      <c r="D42" s="288">
        <v>1472.834</v>
      </c>
      <c r="E42" s="288">
        <v>27.067</v>
      </c>
      <c r="F42" s="300"/>
      <c r="G42" s="288"/>
      <c r="H42" s="290">
        <v>628.123</v>
      </c>
      <c r="I42" s="289">
        <v>13617.569</v>
      </c>
      <c r="J42" s="288">
        <v>9208.507</v>
      </c>
      <c r="K42" s="288">
        <v>4894.639</v>
      </c>
      <c r="L42" s="288">
        <v>9240.764</v>
      </c>
      <c r="M42" s="289">
        <v>29853.049</v>
      </c>
      <c r="N42" s="289">
        <v>40154.659</v>
      </c>
      <c r="O42" s="288">
        <v>34718.824</v>
      </c>
      <c r="P42" s="9">
        <f t="shared" si="10"/>
        <v>143816.035</v>
      </c>
    </row>
    <row r="43" spans="1:16" ht="19.5" customHeight="1">
      <c r="A43" s="376" t="s">
        <v>43</v>
      </c>
      <c r="B43" s="377"/>
      <c r="C43" s="54" t="s">
        <v>16</v>
      </c>
      <c r="D43" s="284"/>
      <c r="E43" s="284"/>
      <c r="F43" s="296"/>
      <c r="G43" s="284"/>
      <c r="H43" s="286"/>
      <c r="I43" s="285"/>
      <c r="J43" s="284"/>
      <c r="K43" s="284"/>
      <c r="L43" s="284"/>
      <c r="M43" s="285"/>
      <c r="N43" s="285"/>
      <c r="O43" s="284"/>
      <c r="P43" s="8"/>
    </row>
    <row r="44" spans="1:16" ht="19.5" customHeight="1">
      <c r="A44" s="378"/>
      <c r="B44" s="379"/>
      <c r="C44" s="48" t="s">
        <v>18</v>
      </c>
      <c r="D44" s="288"/>
      <c r="E44" s="288"/>
      <c r="F44" s="300"/>
      <c r="G44" s="288"/>
      <c r="H44" s="290"/>
      <c r="I44" s="289"/>
      <c r="J44" s="288"/>
      <c r="K44" s="288"/>
      <c r="L44" s="288"/>
      <c r="M44" s="289"/>
      <c r="N44" s="289"/>
      <c r="O44" s="288"/>
      <c r="P44" s="9"/>
    </row>
    <row r="45" spans="1:16" ht="19.5" customHeight="1">
      <c r="A45" s="376" t="s">
        <v>44</v>
      </c>
      <c r="B45" s="377"/>
      <c r="C45" s="54" t="s">
        <v>16</v>
      </c>
      <c r="D45" s="284">
        <v>0.002</v>
      </c>
      <c r="E45" s="284">
        <v>0.0038</v>
      </c>
      <c r="F45" s="296">
        <v>0.0027</v>
      </c>
      <c r="G45" s="284"/>
      <c r="H45" s="286">
        <v>0.001</v>
      </c>
      <c r="I45" s="285">
        <v>0.0008</v>
      </c>
      <c r="J45" s="284"/>
      <c r="K45" s="284"/>
      <c r="L45" s="284"/>
      <c r="M45" s="285"/>
      <c r="N45" s="285"/>
      <c r="O45" s="284"/>
      <c r="P45" s="8">
        <f t="shared" si="10"/>
        <v>0.010300000000000002</v>
      </c>
    </row>
    <row r="46" spans="1:16" ht="19.5" customHeight="1">
      <c r="A46" s="378"/>
      <c r="B46" s="379"/>
      <c r="C46" s="48" t="s">
        <v>18</v>
      </c>
      <c r="D46" s="288">
        <v>1.26</v>
      </c>
      <c r="E46" s="288">
        <v>2.258</v>
      </c>
      <c r="F46" s="300">
        <v>2.41</v>
      </c>
      <c r="G46" s="288"/>
      <c r="H46" s="290">
        <v>0.54</v>
      </c>
      <c r="I46" s="289">
        <v>0.518</v>
      </c>
      <c r="J46" s="288"/>
      <c r="K46" s="288"/>
      <c r="L46" s="288"/>
      <c r="M46" s="289"/>
      <c r="N46" s="289"/>
      <c r="O46" s="288"/>
      <c r="P46" s="9">
        <f t="shared" si="10"/>
        <v>6.986</v>
      </c>
    </row>
    <row r="47" spans="1:16" ht="19.5" customHeight="1">
      <c r="A47" s="376" t="s">
        <v>45</v>
      </c>
      <c r="B47" s="377"/>
      <c r="C47" s="54" t="s">
        <v>16</v>
      </c>
      <c r="D47" s="284">
        <v>0.015</v>
      </c>
      <c r="E47" s="284">
        <v>0.003</v>
      </c>
      <c r="F47" s="296"/>
      <c r="G47" s="284"/>
      <c r="H47" s="286">
        <v>0.0265</v>
      </c>
      <c r="I47" s="285">
        <v>0.004</v>
      </c>
      <c r="J47" s="284"/>
      <c r="K47" s="284"/>
      <c r="L47" s="284">
        <v>0.0025</v>
      </c>
      <c r="M47" s="285"/>
      <c r="N47" s="285"/>
      <c r="O47" s="284">
        <v>0.001</v>
      </c>
      <c r="P47" s="8">
        <f t="shared" si="10"/>
        <v>0.052000000000000005</v>
      </c>
    </row>
    <row r="48" spans="1:16" ht="19.5" customHeight="1">
      <c r="A48" s="378"/>
      <c r="B48" s="379"/>
      <c r="C48" s="48" t="s">
        <v>18</v>
      </c>
      <c r="D48" s="288">
        <v>12.94</v>
      </c>
      <c r="E48" s="288">
        <v>1.995</v>
      </c>
      <c r="F48" s="300"/>
      <c r="G48" s="288"/>
      <c r="H48" s="290">
        <v>32.936</v>
      </c>
      <c r="I48" s="289">
        <v>2.678</v>
      </c>
      <c r="J48" s="288"/>
      <c r="K48" s="288"/>
      <c r="L48" s="288">
        <v>0.54</v>
      </c>
      <c r="M48" s="289"/>
      <c r="N48" s="289"/>
      <c r="O48" s="288">
        <v>2.16</v>
      </c>
      <c r="P48" s="9">
        <f t="shared" si="10"/>
        <v>53.248999999999995</v>
      </c>
    </row>
    <row r="49" spans="1:16" ht="19.5" customHeight="1">
      <c r="A49" s="376" t="s">
        <v>46</v>
      </c>
      <c r="B49" s="377"/>
      <c r="C49" s="54" t="s">
        <v>16</v>
      </c>
      <c r="D49" s="284">
        <v>78.8182</v>
      </c>
      <c r="E49" s="284">
        <v>168.166</v>
      </c>
      <c r="F49" s="296">
        <v>91.649</v>
      </c>
      <c r="G49" s="284">
        <v>25.125</v>
      </c>
      <c r="H49" s="286">
        <v>311.0695</v>
      </c>
      <c r="I49" s="285">
        <v>251.634</v>
      </c>
      <c r="J49" s="284">
        <v>1029.7725</v>
      </c>
      <c r="K49" s="284">
        <v>640.302</v>
      </c>
      <c r="L49" s="284">
        <v>207.1913</v>
      </c>
      <c r="M49" s="285">
        <v>85.7052</v>
      </c>
      <c r="N49" s="285">
        <v>170.0333</v>
      </c>
      <c r="O49" s="284">
        <v>126.9398</v>
      </c>
      <c r="P49" s="8">
        <f t="shared" si="10"/>
        <v>3186.4058</v>
      </c>
    </row>
    <row r="50" spans="1:16" ht="19.5" customHeight="1">
      <c r="A50" s="378"/>
      <c r="B50" s="379"/>
      <c r="C50" s="48" t="s">
        <v>18</v>
      </c>
      <c r="D50" s="288">
        <v>5439.832</v>
      </c>
      <c r="E50" s="288">
        <v>12382.302</v>
      </c>
      <c r="F50" s="300">
        <v>6347.521</v>
      </c>
      <c r="G50" s="288">
        <v>1718.995</v>
      </c>
      <c r="H50" s="290">
        <v>37932.079</v>
      </c>
      <c r="I50" s="289">
        <v>23489.611</v>
      </c>
      <c r="J50" s="288">
        <v>78067.665</v>
      </c>
      <c r="K50" s="288">
        <v>73649.168</v>
      </c>
      <c r="L50" s="288">
        <v>23979.077</v>
      </c>
      <c r="M50" s="289">
        <v>7752.715</v>
      </c>
      <c r="N50" s="289">
        <v>12078.713</v>
      </c>
      <c r="O50" s="288">
        <v>14864.443</v>
      </c>
      <c r="P50" s="9">
        <f t="shared" si="10"/>
        <v>297702.12100000004</v>
      </c>
    </row>
    <row r="51" spans="1:16" ht="19.5" customHeight="1">
      <c r="A51" s="376" t="s">
        <v>47</v>
      </c>
      <c r="B51" s="377"/>
      <c r="C51" s="54" t="s">
        <v>16</v>
      </c>
      <c r="D51" s="284">
        <v>406.385</v>
      </c>
      <c r="E51" s="284">
        <v>255.57</v>
      </c>
      <c r="F51" s="296">
        <v>6.645</v>
      </c>
      <c r="G51" s="284"/>
      <c r="H51" s="286"/>
      <c r="I51" s="285">
        <v>0.024</v>
      </c>
      <c r="J51" s="284"/>
      <c r="K51" s="284"/>
      <c r="L51" s="284">
        <v>3706.557</v>
      </c>
      <c r="M51" s="285">
        <v>8266.7559</v>
      </c>
      <c r="N51" s="285">
        <v>11442.3969</v>
      </c>
      <c r="O51" s="284">
        <v>1980.6165</v>
      </c>
      <c r="P51" s="8">
        <f t="shared" si="10"/>
        <v>26064.9503</v>
      </c>
    </row>
    <row r="52" spans="1:16" ht="19.5" customHeight="1">
      <c r="A52" s="378"/>
      <c r="B52" s="379"/>
      <c r="C52" s="48" t="s">
        <v>18</v>
      </c>
      <c r="D52" s="288">
        <v>38558.906</v>
      </c>
      <c r="E52" s="288">
        <v>22619.402</v>
      </c>
      <c r="F52" s="300">
        <v>1879.605</v>
      </c>
      <c r="G52" s="288"/>
      <c r="H52" s="290"/>
      <c r="I52" s="289">
        <v>2.199</v>
      </c>
      <c r="J52" s="288"/>
      <c r="K52" s="288"/>
      <c r="L52" s="288">
        <v>639561.22</v>
      </c>
      <c r="M52" s="289">
        <v>940683.867</v>
      </c>
      <c r="N52" s="289">
        <v>765395.246</v>
      </c>
      <c r="O52" s="288">
        <v>153889.826</v>
      </c>
      <c r="P52" s="9">
        <f t="shared" si="10"/>
        <v>2562590.271</v>
      </c>
    </row>
    <row r="53" spans="1:16" ht="19.5" customHeight="1">
      <c r="A53" s="376" t="s">
        <v>48</v>
      </c>
      <c r="B53" s="377"/>
      <c r="C53" s="54" t="s">
        <v>16</v>
      </c>
      <c r="D53" s="284">
        <v>7.7628</v>
      </c>
      <c r="E53" s="284">
        <v>0.0018</v>
      </c>
      <c r="F53" s="296">
        <v>0.6459</v>
      </c>
      <c r="G53" s="284">
        <v>222.1853</v>
      </c>
      <c r="H53" s="286">
        <v>614.4711</v>
      </c>
      <c r="I53" s="285">
        <v>1391.4219</v>
      </c>
      <c r="J53" s="284">
        <v>3087.0113</v>
      </c>
      <c r="K53" s="284">
        <v>380.8326</v>
      </c>
      <c r="L53" s="284">
        <v>16.4052</v>
      </c>
      <c r="M53" s="285">
        <v>187.391</v>
      </c>
      <c r="N53" s="285">
        <v>93.2315</v>
      </c>
      <c r="O53" s="284">
        <v>16.2634</v>
      </c>
      <c r="P53" s="8">
        <f t="shared" si="10"/>
        <v>6017.623799999999</v>
      </c>
    </row>
    <row r="54" spans="1:16" ht="19.5" customHeight="1">
      <c r="A54" s="378"/>
      <c r="B54" s="379"/>
      <c r="C54" s="48" t="s">
        <v>18</v>
      </c>
      <c r="D54" s="288">
        <v>719.623</v>
      </c>
      <c r="E54" s="288">
        <v>1.89</v>
      </c>
      <c r="F54" s="300">
        <v>256.789</v>
      </c>
      <c r="G54" s="288">
        <v>156771.047</v>
      </c>
      <c r="H54" s="290">
        <v>422040.748</v>
      </c>
      <c r="I54" s="289">
        <v>801176.469</v>
      </c>
      <c r="J54" s="288">
        <v>1696746.712</v>
      </c>
      <c r="K54" s="288">
        <v>206322.525</v>
      </c>
      <c r="L54" s="288">
        <v>6350.845</v>
      </c>
      <c r="M54" s="289">
        <v>88505.474</v>
      </c>
      <c r="N54" s="289">
        <v>45407.987</v>
      </c>
      <c r="O54" s="288">
        <v>7546.818</v>
      </c>
      <c r="P54" s="9">
        <f t="shared" si="10"/>
        <v>3431846.927</v>
      </c>
    </row>
    <row r="55" spans="1:16" ht="19.5" customHeight="1">
      <c r="A55" s="44" t="s">
        <v>0</v>
      </c>
      <c r="B55" s="382" t="s">
        <v>132</v>
      </c>
      <c r="C55" s="54" t="s">
        <v>16</v>
      </c>
      <c r="D55" s="284">
        <v>0.052</v>
      </c>
      <c r="E55" s="284"/>
      <c r="F55" s="296"/>
      <c r="G55" s="284"/>
      <c r="H55" s="286">
        <v>0.1379</v>
      </c>
      <c r="I55" s="285">
        <v>0.2338</v>
      </c>
      <c r="J55" s="284">
        <v>8.1689</v>
      </c>
      <c r="K55" s="284">
        <v>4.4871</v>
      </c>
      <c r="L55" s="284">
        <v>2.8293</v>
      </c>
      <c r="M55" s="285">
        <v>0.9859</v>
      </c>
      <c r="N55" s="285">
        <v>1.7769</v>
      </c>
      <c r="O55" s="284">
        <v>1.352</v>
      </c>
      <c r="P55" s="8">
        <f t="shared" si="10"/>
        <v>20.0238</v>
      </c>
    </row>
    <row r="56" spans="1:16" ht="19.5" customHeight="1">
      <c r="A56" s="44" t="s">
        <v>38</v>
      </c>
      <c r="B56" s="383"/>
      <c r="C56" s="48" t="s">
        <v>18</v>
      </c>
      <c r="D56" s="288">
        <v>25.329</v>
      </c>
      <c r="E56" s="288"/>
      <c r="F56" s="300"/>
      <c r="G56" s="288"/>
      <c r="H56" s="290">
        <v>169.744</v>
      </c>
      <c r="I56" s="289">
        <v>141.133</v>
      </c>
      <c r="J56" s="288">
        <v>3484.946</v>
      </c>
      <c r="K56" s="288">
        <v>2600.761</v>
      </c>
      <c r="L56" s="288">
        <v>987.499</v>
      </c>
      <c r="M56" s="289">
        <v>544.765</v>
      </c>
      <c r="N56" s="289">
        <v>1230.207</v>
      </c>
      <c r="O56" s="288">
        <v>943.194</v>
      </c>
      <c r="P56" s="9">
        <f t="shared" si="10"/>
        <v>10127.578</v>
      </c>
    </row>
    <row r="57" spans="1:16" ht="19.5" customHeight="1">
      <c r="A57" s="44" t="s">
        <v>17</v>
      </c>
      <c r="B57" s="47" t="s">
        <v>20</v>
      </c>
      <c r="C57" s="54" t="s">
        <v>16</v>
      </c>
      <c r="D57" s="284">
        <v>0.6412</v>
      </c>
      <c r="E57" s="284">
        <v>0.0152</v>
      </c>
      <c r="F57" s="296"/>
      <c r="G57" s="284"/>
      <c r="H57" s="286">
        <v>0.0091</v>
      </c>
      <c r="I57" s="285">
        <v>2.2224</v>
      </c>
      <c r="J57" s="284">
        <v>1.137</v>
      </c>
      <c r="K57" s="284">
        <v>0.428</v>
      </c>
      <c r="L57" s="284">
        <v>0.3827</v>
      </c>
      <c r="M57" s="285">
        <v>59.7243</v>
      </c>
      <c r="N57" s="285">
        <v>0.5351</v>
      </c>
      <c r="O57" s="284">
        <v>0.7775</v>
      </c>
      <c r="P57" s="8">
        <f t="shared" si="10"/>
        <v>65.8725</v>
      </c>
    </row>
    <row r="58" spans="1:16" ht="19.5" customHeight="1">
      <c r="A58" s="44" t="s">
        <v>23</v>
      </c>
      <c r="B58" s="48" t="s">
        <v>113</v>
      </c>
      <c r="C58" s="48" t="s">
        <v>18</v>
      </c>
      <c r="D58" s="288">
        <v>113.655</v>
      </c>
      <c r="E58" s="288">
        <v>7.875</v>
      </c>
      <c r="F58" s="300"/>
      <c r="G58" s="288"/>
      <c r="H58" s="290">
        <v>10.232</v>
      </c>
      <c r="I58" s="289">
        <v>485.743</v>
      </c>
      <c r="J58" s="288">
        <v>368.539</v>
      </c>
      <c r="K58" s="288">
        <v>237.77</v>
      </c>
      <c r="L58" s="288">
        <v>154.537</v>
      </c>
      <c r="M58" s="289">
        <v>2805.083</v>
      </c>
      <c r="N58" s="289">
        <v>148.007</v>
      </c>
      <c r="O58" s="288">
        <v>276.959</v>
      </c>
      <c r="P58" s="9">
        <f t="shared" si="10"/>
        <v>4608.4</v>
      </c>
    </row>
    <row r="59" spans="1:16" ht="19.5" customHeight="1">
      <c r="A59" s="50"/>
      <c r="B59" s="380" t="s">
        <v>107</v>
      </c>
      <c r="C59" s="54" t="s">
        <v>16</v>
      </c>
      <c r="D59" s="26">
        <f aca="true" t="shared" si="11" ref="D59:K59">+D55+D57</f>
        <v>0.6932</v>
      </c>
      <c r="E59" s="26">
        <f t="shared" si="11"/>
        <v>0.0152</v>
      </c>
      <c r="F59" s="26"/>
      <c r="G59" s="26"/>
      <c r="H59" s="26">
        <f t="shared" si="11"/>
        <v>0.147</v>
      </c>
      <c r="I59" s="28">
        <f t="shared" si="11"/>
        <v>2.4562</v>
      </c>
      <c r="J59" s="26">
        <f t="shared" si="11"/>
        <v>9.305900000000001</v>
      </c>
      <c r="K59" s="26">
        <f t="shared" si="11"/>
        <v>4.9151</v>
      </c>
      <c r="L59" s="28">
        <f>+L55+L57</f>
        <v>3.2119999999999997</v>
      </c>
      <c r="M59" s="28">
        <f aca="true" t="shared" si="12" ref="M59:O60">+M55+M57</f>
        <v>60.7102</v>
      </c>
      <c r="N59" s="28">
        <f t="shared" si="12"/>
        <v>2.312</v>
      </c>
      <c r="O59" s="28">
        <f t="shared" si="12"/>
        <v>2.1295</v>
      </c>
      <c r="P59" s="8">
        <f>SUM(D59:O59)</f>
        <v>85.8963</v>
      </c>
    </row>
    <row r="60" spans="1:16" ht="19.5" customHeight="1">
      <c r="A60" s="49"/>
      <c r="B60" s="381"/>
      <c r="C60" s="48" t="s">
        <v>18</v>
      </c>
      <c r="D60" s="25">
        <f aca="true" t="shared" si="13" ref="D60:K60">+D56+D58</f>
        <v>138.984</v>
      </c>
      <c r="E60" s="25">
        <f t="shared" si="13"/>
        <v>7.875</v>
      </c>
      <c r="F60" s="25"/>
      <c r="G60" s="25"/>
      <c r="H60" s="25">
        <f t="shared" si="13"/>
        <v>179.976</v>
      </c>
      <c r="I60" s="86">
        <f t="shared" si="13"/>
        <v>626.876</v>
      </c>
      <c r="J60" s="25">
        <f t="shared" si="13"/>
        <v>3853.4849999999997</v>
      </c>
      <c r="K60" s="25">
        <f t="shared" si="13"/>
        <v>2838.531</v>
      </c>
      <c r="L60" s="86">
        <f>+L56+L58</f>
        <v>1142.036</v>
      </c>
      <c r="M60" s="86">
        <f t="shared" si="12"/>
        <v>3349.848</v>
      </c>
      <c r="N60" s="86">
        <f t="shared" si="12"/>
        <v>1378.2140000000002</v>
      </c>
      <c r="O60" s="86">
        <f t="shared" si="12"/>
        <v>1220.153</v>
      </c>
      <c r="P60" s="9">
        <f>SUM(D60:O60)</f>
        <v>14735.978</v>
      </c>
    </row>
    <row r="61" spans="1:16" ht="19.5" customHeight="1">
      <c r="A61" s="44" t="s">
        <v>0</v>
      </c>
      <c r="B61" s="382" t="s">
        <v>115</v>
      </c>
      <c r="C61" s="54" t="s">
        <v>16</v>
      </c>
      <c r="D61" s="284"/>
      <c r="E61" s="284"/>
      <c r="F61" s="296"/>
      <c r="G61" s="284"/>
      <c r="H61" s="286"/>
      <c r="I61" s="285"/>
      <c r="J61" s="284"/>
      <c r="K61" s="284"/>
      <c r="L61" s="284"/>
      <c r="M61" s="285"/>
      <c r="N61" s="285"/>
      <c r="O61" s="284"/>
      <c r="P61" s="8"/>
    </row>
    <row r="62" spans="1:16" ht="19.5" customHeight="1">
      <c r="A62" s="44" t="s">
        <v>49</v>
      </c>
      <c r="B62" s="383"/>
      <c r="C62" s="48" t="s">
        <v>18</v>
      </c>
      <c r="D62" s="288"/>
      <c r="E62" s="288"/>
      <c r="F62" s="300"/>
      <c r="G62" s="288"/>
      <c r="H62" s="290"/>
      <c r="I62" s="289"/>
      <c r="J62" s="288"/>
      <c r="K62" s="288"/>
      <c r="L62" s="288"/>
      <c r="M62" s="289"/>
      <c r="N62" s="289"/>
      <c r="O62" s="288"/>
      <c r="P62" s="9"/>
    </row>
    <row r="63" spans="1:16" ht="19.5" customHeight="1">
      <c r="A63" s="44" t="s">
        <v>0</v>
      </c>
      <c r="B63" s="47" t="s">
        <v>50</v>
      </c>
      <c r="C63" s="54" t="s">
        <v>16</v>
      </c>
      <c r="D63" s="284"/>
      <c r="E63" s="284"/>
      <c r="F63" s="296"/>
      <c r="G63" s="284"/>
      <c r="H63" s="286"/>
      <c r="I63" s="285"/>
      <c r="J63" s="284"/>
      <c r="K63" s="284"/>
      <c r="L63" s="284"/>
      <c r="M63" s="285"/>
      <c r="N63" s="285"/>
      <c r="O63" s="284"/>
      <c r="P63" s="8"/>
    </row>
    <row r="64" spans="1:16" ht="19.5" customHeight="1">
      <c r="A64" s="44" t="s">
        <v>51</v>
      </c>
      <c r="B64" s="48" t="s">
        <v>116</v>
      </c>
      <c r="C64" s="48" t="s">
        <v>18</v>
      </c>
      <c r="D64" s="288"/>
      <c r="E64" s="288"/>
      <c r="F64" s="300"/>
      <c r="G64" s="288"/>
      <c r="H64" s="290"/>
      <c r="I64" s="289"/>
      <c r="J64" s="288"/>
      <c r="K64" s="288"/>
      <c r="L64" s="288"/>
      <c r="M64" s="289"/>
      <c r="N64" s="289"/>
      <c r="O64" s="288"/>
      <c r="P64" s="9"/>
    </row>
    <row r="65" spans="1:16" ht="19.5" customHeight="1">
      <c r="A65" s="44" t="s">
        <v>0</v>
      </c>
      <c r="B65" s="382" t="s">
        <v>53</v>
      </c>
      <c r="C65" s="54" t="s">
        <v>16</v>
      </c>
      <c r="D65" s="284"/>
      <c r="E65" s="284"/>
      <c r="F65" s="296">
        <v>0.001</v>
      </c>
      <c r="G65" s="284"/>
      <c r="H65" s="286"/>
      <c r="I65" s="285"/>
      <c r="J65" s="284"/>
      <c r="K65" s="284"/>
      <c r="L65" s="284"/>
      <c r="M65" s="285"/>
      <c r="N65" s="285"/>
      <c r="O65" s="284">
        <v>0.001</v>
      </c>
      <c r="P65" s="8">
        <f t="shared" si="10"/>
        <v>0.002</v>
      </c>
    </row>
    <row r="66" spans="1:16" ht="19.5" customHeight="1">
      <c r="A66" s="44" t="s">
        <v>23</v>
      </c>
      <c r="B66" s="383"/>
      <c r="C66" s="48" t="s">
        <v>18</v>
      </c>
      <c r="D66" s="288"/>
      <c r="E66" s="288"/>
      <c r="F66" s="300">
        <v>1.575</v>
      </c>
      <c r="G66" s="288"/>
      <c r="H66" s="290"/>
      <c r="I66" s="289"/>
      <c r="J66" s="288"/>
      <c r="K66" s="288"/>
      <c r="L66" s="288"/>
      <c r="M66" s="289"/>
      <c r="N66" s="289"/>
      <c r="O66" s="288">
        <v>1.62</v>
      </c>
      <c r="P66" s="9">
        <f t="shared" si="10"/>
        <v>3.1950000000000003</v>
      </c>
    </row>
    <row r="67" spans="1:16" ht="19.5" customHeight="1">
      <c r="A67" s="50"/>
      <c r="B67" s="47" t="s">
        <v>20</v>
      </c>
      <c r="C67" s="54" t="s">
        <v>16</v>
      </c>
      <c r="D67" s="284">
        <v>3.4285</v>
      </c>
      <c r="E67" s="284">
        <v>1.19</v>
      </c>
      <c r="F67" s="296">
        <v>0.4707</v>
      </c>
      <c r="G67" s="284">
        <v>0.937</v>
      </c>
      <c r="H67" s="286">
        <v>0.014</v>
      </c>
      <c r="I67" s="285"/>
      <c r="J67" s="284">
        <v>0.02</v>
      </c>
      <c r="K67" s="284"/>
      <c r="L67" s="284">
        <v>0.024</v>
      </c>
      <c r="M67" s="285">
        <v>0.014</v>
      </c>
      <c r="N67" s="285">
        <v>0.3315</v>
      </c>
      <c r="O67" s="284">
        <v>0.5175</v>
      </c>
      <c r="P67" s="8">
        <f t="shared" si="10"/>
        <v>6.9472000000000005</v>
      </c>
    </row>
    <row r="68" spans="1:16" ht="19.5" customHeight="1" thickBot="1">
      <c r="A68" s="51" t="s">
        <v>0</v>
      </c>
      <c r="B68" s="52" t="s">
        <v>116</v>
      </c>
      <c r="C68" s="52" t="s">
        <v>18</v>
      </c>
      <c r="D68" s="295">
        <v>129.664</v>
      </c>
      <c r="E68" s="291">
        <v>42.565</v>
      </c>
      <c r="F68" s="306">
        <v>11.39</v>
      </c>
      <c r="G68" s="291">
        <v>34.618</v>
      </c>
      <c r="H68" s="293">
        <v>0.756</v>
      </c>
      <c r="I68" s="294"/>
      <c r="J68" s="295">
        <v>0.216</v>
      </c>
      <c r="K68" s="291"/>
      <c r="L68" s="295">
        <v>0.799</v>
      </c>
      <c r="M68" s="294">
        <v>0.621</v>
      </c>
      <c r="N68" s="292">
        <v>14.311</v>
      </c>
      <c r="O68" s="307">
        <v>110.857</v>
      </c>
      <c r="P68" s="10">
        <f t="shared" si="10"/>
        <v>345.797</v>
      </c>
    </row>
    <row r="69" spans="1:16" s="373" customFormat="1" ht="19.5" customHeight="1">
      <c r="A69" s="68"/>
      <c r="B69" s="68"/>
      <c r="C69" s="68"/>
      <c r="D69" s="268"/>
      <c r="E69" s="268"/>
      <c r="F69" s="270"/>
      <c r="G69" s="268"/>
      <c r="H69" s="268"/>
      <c r="I69" s="269"/>
      <c r="J69" s="268"/>
      <c r="K69" s="268"/>
      <c r="L69" s="268"/>
      <c r="M69" s="269"/>
      <c r="N69" s="269"/>
      <c r="O69" s="268"/>
      <c r="P69" s="68"/>
    </row>
    <row r="70" spans="1:16" s="373" customFormat="1" ht="19.5" customHeight="1">
      <c r="A70" s="68"/>
      <c r="B70" s="68"/>
      <c r="C70" s="68"/>
      <c r="D70" s="268"/>
      <c r="E70" s="268"/>
      <c r="F70" s="270"/>
      <c r="G70" s="268"/>
      <c r="H70" s="268"/>
      <c r="I70" s="269"/>
      <c r="J70" s="268"/>
      <c r="K70" s="268"/>
      <c r="L70" s="268"/>
      <c r="M70" s="269"/>
      <c r="N70" s="269"/>
      <c r="O70" s="268"/>
      <c r="P70" s="68"/>
    </row>
    <row r="71" spans="1:16" s="373" customFormat="1" ht="19.5" customHeight="1">
      <c r="A71" s="68"/>
      <c r="B71" s="68"/>
      <c r="C71" s="68"/>
      <c r="D71" s="268"/>
      <c r="E71" s="268"/>
      <c r="F71" s="270"/>
      <c r="G71" s="268"/>
      <c r="H71" s="268"/>
      <c r="I71" s="269"/>
      <c r="J71" s="268"/>
      <c r="K71" s="268"/>
      <c r="L71" s="268"/>
      <c r="M71" s="269"/>
      <c r="N71" s="269"/>
      <c r="O71" s="268"/>
      <c r="P71" s="68"/>
    </row>
    <row r="72" spans="1:16" s="373" customFormat="1" ht="19.5" customHeight="1">
      <c r="A72" s="68"/>
      <c r="B72" s="68"/>
      <c r="C72" s="68"/>
      <c r="D72" s="268"/>
      <c r="E72" s="268"/>
      <c r="F72" s="270"/>
      <c r="G72" s="268"/>
      <c r="H72" s="268"/>
      <c r="I72" s="269"/>
      <c r="J72" s="268"/>
      <c r="K72" s="268"/>
      <c r="L72" s="268"/>
      <c r="M72" s="269"/>
      <c r="N72" s="269"/>
      <c r="O72" s="268"/>
      <c r="P72" s="68"/>
    </row>
    <row r="73" spans="1:16" s="373" customFormat="1" ht="19.5" customHeight="1">
      <c r="A73" s="68"/>
      <c r="B73" s="68"/>
      <c r="C73" s="68"/>
      <c r="D73" s="268"/>
      <c r="E73" s="268"/>
      <c r="F73" s="270"/>
      <c r="G73" s="268"/>
      <c r="H73" s="268"/>
      <c r="I73" s="269"/>
      <c r="J73" s="268"/>
      <c r="K73" s="268"/>
      <c r="L73" s="268"/>
      <c r="M73" s="269"/>
      <c r="N73" s="269"/>
      <c r="O73" s="268"/>
      <c r="P73" s="68"/>
    </row>
    <row r="74" spans="1:16" s="373" customFormat="1" ht="19.5" customHeight="1" thickBot="1">
      <c r="A74" s="12" t="s">
        <v>133</v>
      </c>
      <c r="B74" s="39"/>
      <c r="C74" s="12"/>
      <c r="D74" s="121"/>
      <c r="E74" s="141"/>
      <c r="F74" s="374"/>
      <c r="G74" s="141"/>
      <c r="H74" s="121"/>
      <c r="I74" s="142"/>
      <c r="J74" s="141"/>
      <c r="K74" s="141"/>
      <c r="L74" s="141"/>
      <c r="M74" s="142"/>
      <c r="N74" s="142"/>
      <c r="O74" s="64" t="s">
        <v>90</v>
      </c>
      <c r="P74" s="12"/>
    </row>
    <row r="75" spans="1:16" ht="19.5" customHeight="1">
      <c r="A75" s="49"/>
      <c r="B75" s="53"/>
      <c r="C75" s="73"/>
      <c r="D75" s="42" t="s">
        <v>2</v>
      </c>
      <c r="E75" s="42" t="s">
        <v>3</v>
      </c>
      <c r="F75" s="42" t="s">
        <v>4</v>
      </c>
      <c r="G75" s="42" t="s">
        <v>5</v>
      </c>
      <c r="H75" s="42" t="s">
        <v>6</v>
      </c>
      <c r="I75" s="82" t="s">
        <v>7</v>
      </c>
      <c r="J75" s="335" t="s">
        <v>8</v>
      </c>
      <c r="K75" s="335" t="s">
        <v>9</v>
      </c>
      <c r="L75" s="335" t="s">
        <v>10</v>
      </c>
      <c r="M75" s="335" t="s">
        <v>11</v>
      </c>
      <c r="N75" s="335" t="s">
        <v>12</v>
      </c>
      <c r="O75" s="42" t="s">
        <v>13</v>
      </c>
      <c r="P75" s="43" t="s">
        <v>14</v>
      </c>
    </row>
    <row r="76" spans="1:16" ht="19.5" customHeight="1">
      <c r="A76" s="44" t="s">
        <v>49</v>
      </c>
      <c r="B76" s="380" t="s">
        <v>114</v>
      </c>
      <c r="C76" s="54" t="s">
        <v>16</v>
      </c>
      <c r="D76" s="26">
        <f aca="true" t="shared" si="14" ref="D76:J76">+D61+D63+D65+D67</f>
        <v>3.4285</v>
      </c>
      <c r="E76" s="26">
        <f t="shared" si="14"/>
        <v>1.19</v>
      </c>
      <c r="F76" s="26">
        <f t="shared" si="14"/>
        <v>0.4717</v>
      </c>
      <c r="G76" s="26">
        <f t="shared" si="14"/>
        <v>0.937</v>
      </c>
      <c r="H76" s="26">
        <f t="shared" si="14"/>
        <v>0.014</v>
      </c>
      <c r="I76" s="28"/>
      <c r="J76" s="26">
        <f t="shared" si="14"/>
        <v>0.02</v>
      </c>
      <c r="K76" s="26"/>
      <c r="L76" s="28">
        <f aca="true" t="shared" si="15" ref="L76:P77">+L61+L63+L65+L67</f>
        <v>0.024</v>
      </c>
      <c r="M76" s="28">
        <f t="shared" si="15"/>
        <v>0.014</v>
      </c>
      <c r="N76" s="28">
        <f t="shared" si="15"/>
        <v>0.3315</v>
      </c>
      <c r="O76" s="28">
        <f t="shared" si="15"/>
        <v>0.5185</v>
      </c>
      <c r="P76" s="8">
        <f t="shared" si="15"/>
        <v>6.9492</v>
      </c>
    </row>
    <row r="77" spans="1:16" ht="19.5" customHeight="1">
      <c r="A77" s="69" t="s">
        <v>51</v>
      </c>
      <c r="B77" s="381"/>
      <c r="C77" s="48" t="s">
        <v>18</v>
      </c>
      <c r="D77" s="25">
        <f aca="true" t="shared" si="16" ref="D77:J77">+D62+D64+D66+D68</f>
        <v>129.664</v>
      </c>
      <c r="E77" s="25">
        <f t="shared" si="16"/>
        <v>42.565</v>
      </c>
      <c r="F77" s="25">
        <f t="shared" si="16"/>
        <v>12.965</v>
      </c>
      <c r="G77" s="25">
        <f t="shared" si="16"/>
        <v>34.618</v>
      </c>
      <c r="H77" s="25">
        <f t="shared" si="16"/>
        <v>0.756</v>
      </c>
      <c r="I77" s="86"/>
      <c r="J77" s="25">
        <f t="shared" si="16"/>
        <v>0.216</v>
      </c>
      <c r="K77" s="25"/>
      <c r="L77" s="86">
        <f t="shared" si="15"/>
        <v>0.799</v>
      </c>
      <c r="M77" s="97">
        <f t="shared" si="15"/>
        <v>0.621</v>
      </c>
      <c r="N77" s="86">
        <f t="shared" si="15"/>
        <v>14.311</v>
      </c>
      <c r="O77" s="86">
        <f t="shared" si="15"/>
        <v>112.477</v>
      </c>
      <c r="P77" s="9">
        <f t="shared" si="15"/>
        <v>348.992</v>
      </c>
    </row>
    <row r="78" spans="1:16" ht="19.5" customHeight="1">
      <c r="A78" s="44" t="s">
        <v>0</v>
      </c>
      <c r="B78" s="382" t="s">
        <v>54</v>
      </c>
      <c r="C78" s="54" t="s">
        <v>16</v>
      </c>
      <c r="D78" s="284">
        <v>1.9505</v>
      </c>
      <c r="E78" s="284">
        <v>0.6935</v>
      </c>
      <c r="F78" s="296">
        <v>0.5076</v>
      </c>
      <c r="G78" s="284">
        <v>1.4318</v>
      </c>
      <c r="H78" s="286">
        <v>2.1677</v>
      </c>
      <c r="I78" s="285">
        <v>9.65</v>
      </c>
      <c r="J78" s="284">
        <v>7.3323</v>
      </c>
      <c r="K78" s="284">
        <v>2.6398</v>
      </c>
      <c r="L78" s="284">
        <v>1.0453</v>
      </c>
      <c r="M78" s="285">
        <v>1.4654</v>
      </c>
      <c r="N78" s="285">
        <v>6.8977</v>
      </c>
      <c r="O78" s="284">
        <v>6.3076</v>
      </c>
      <c r="P78" s="8">
        <f aca="true" t="shared" si="17" ref="P78:P107">SUM(D78:O78)</f>
        <v>42.0892</v>
      </c>
    </row>
    <row r="79" spans="1:16" ht="19.5" customHeight="1">
      <c r="A79" s="44" t="s">
        <v>34</v>
      </c>
      <c r="B79" s="383"/>
      <c r="C79" s="48" t="s">
        <v>18</v>
      </c>
      <c r="D79" s="288">
        <v>1884.959</v>
      </c>
      <c r="E79" s="288">
        <v>710.43</v>
      </c>
      <c r="F79" s="300">
        <v>578.31</v>
      </c>
      <c r="G79" s="288">
        <v>1057.307</v>
      </c>
      <c r="H79" s="290">
        <v>1931.488</v>
      </c>
      <c r="I79" s="289">
        <v>3838.132</v>
      </c>
      <c r="J79" s="288">
        <v>3360.703</v>
      </c>
      <c r="K79" s="288">
        <v>2439.855</v>
      </c>
      <c r="L79" s="288">
        <v>1079.653</v>
      </c>
      <c r="M79" s="289">
        <v>1676.877</v>
      </c>
      <c r="N79" s="289">
        <v>4616.992</v>
      </c>
      <c r="O79" s="288">
        <v>6656.17</v>
      </c>
      <c r="P79" s="9">
        <f t="shared" si="17"/>
        <v>29830.875999999997</v>
      </c>
    </row>
    <row r="80" spans="1:16" ht="19.5" customHeight="1">
      <c r="A80" s="44" t="s">
        <v>0</v>
      </c>
      <c r="B80" s="382" t="s">
        <v>55</v>
      </c>
      <c r="C80" s="54" t="s">
        <v>16</v>
      </c>
      <c r="D80" s="284"/>
      <c r="E80" s="284">
        <v>0.05</v>
      </c>
      <c r="F80" s="296">
        <v>0.245</v>
      </c>
      <c r="G80" s="284">
        <v>0.046</v>
      </c>
      <c r="H80" s="286">
        <v>0.011</v>
      </c>
      <c r="I80" s="285">
        <v>0.014</v>
      </c>
      <c r="J80" s="284"/>
      <c r="K80" s="284">
        <v>0.006</v>
      </c>
      <c r="L80" s="284">
        <v>0.002</v>
      </c>
      <c r="M80" s="285"/>
      <c r="N80" s="285">
        <v>0.003</v>
      </c>
      <c r="O80" s="284"/>
      <c r="P80" s="8">
        <f t="shared" si="17"/>
        <v>0.377</v>
      </c>
    </row>
    <row r="81" spans="1:16" ht="19.5" customHeight="1">
      <c r="A81" s="44" t="s">
        <v>0</v>
      </c>
      <c r="B81" s="383"/>
      <c r="C81" s="48" t="s">
        <v>18</v>
      </c>
      <c r="D81" s="288"/>
      <c r="E81" s="288">
        <v>9.135</v>
      </c>
      <c r="F81" s="300">
        <v>38.485</v>
      </c>
      <c r="G81" s="288">
        <v>4.968</v>
      </c>
      <c r="H81" s="290">
        <v>0.594</v>
      </c>
      <c r="I81" s="289">
        <v>1.21</v>
      </c>
      <c r="J81" s="288"/>
      <c r="K81" s="288">
        <v>0.351</v>
      </c>
      <c r="L81" s="288">
        <v>0.043</v>
      </c>
      <c r="M81" s="289"/>
      <c r="N81" s="289">
        <v>0.065</v>
      </c>
      <c r="O81" s="288"/>
      <c r="P81" s="9">
        <f t="shared" si="17"/>
        <v>54.85099999999999</v>
      </c>
    </row>
    <row r="82" spans="1:16" ht="19.5" customHeight="1">
      <c r="A82" s="44" t="s">
        <v>56</v>
      </c>
      <c r="B82" s="47" t="s">
        <v>57</v>
      </c>
      <c r="C82" s="54" t="s">
        <v>16</v>
      </c>
      <c r="D82" s="284"/>
      <c r="E82" s="284"/>
      <c r="F82" s="296"/>
      <c r="G82" s="284"/>
      <c r="H82" s="286"/>
      <c r="I82" s="285">
        <v>66.47</v>
      </c>
      <c r="J82" s="284"/>
      <c r="K82" s="284">
        <v>0.844</v>
      </c>
      <c r="L82" s="284"/>
      <c r="M82" s="285">
        <v>20.622</v>
      </c>
      <c r="N82" s="285">
        <v>4.022</v>
      </c>
      <c r="O82" s="284"/>
      <c r="P82" s="8">
        <f t="shared" si="17"/>
        <v>91.958</v>
      </c>
    </row>
    <row r="83" spans="1:16" ht="19.5" customHeight="1">
      <c r="A83" s="50"/>
      <c r="B83" s="48" t="s">
        <v>58</v>
      </c>
      <c r="C83" s="48" t="s">
        <v>18</v>
      </c>
      <c r="D83" s="288"/>
      <c r="E83" s="288"/>
      <c r="F83" s="300"/>
      <c r="G83" s="288"/>
      <c r="H83" s="290"/>
      <c r="I83" s="289">
        <v>53341.966</v>
      </c>
      <c r="J83" s="288"/>
      <c r="K83" s="288">
        <v>560.256</v>
      </c>
      <c r="L83" s="288"/>
      <c r="M83" s="289">
        <v>18818.397</v>
      </c>
      <c r="N83" s="289">
        <v>2958.101</v>
      </c>
      <c r="O83" s="288"/>
      <c r="P83" s="9">
        <f t="shared" si="17"/>
        <v>75678.72</v>
      </c>
    </row>
    <row r="84" spans="1:16" ht="19.5" customHeight="1">
      <c r="A84" s="50"/>
      <c r="B84" s="382" t="s">
        <v>59</v>
      </c>
      <c r="C84" s="54" t="s">
        <v>16</v>
      </c>
      <c r="D84" s="284"/>
      <c r="E84" s="284"/>
      <c r="F84" s="296"/>
      <c r="G84" s="284"/>
      <c r="H84" s="286"/>
      <c r="I84" s="285"/>
      <c r="J84" s="284"/>
      <c r="K84" s="284"/>
      <c r="L84" s="284"/>
      <c r="M84" s="285"/>
      <c r="N84" s="285"/>
      <c r="O84" s="284"/>
      <c r="P84" s="8"/>
    </row>
    <row r="85" spans="1:16" ht="19.5" customHeight="1">
      <c r="A85" s="44" t="s">
        <v>17</v>
      </c>
      <c r="B85" s="383"/>
      <c r="C85" s="48" t="s">
        <v>18</v>
      </c>
      <c r="D85" s="288"/>
      <c r="E85" s="288"/>
      <c r="F85" s="300"/>
      <c r="G85" s="288"/>
      <c r="H85" s="290"/>
      <c r="I85" s="289"/>
      <c r="J85" s="288"/>
      <c r="K85" s="288"/>
      <c r="L85" s="288"/>
      <c r="M85" s="289"/>
      <c r="N85" s="289"/>
      <c r="O85" s="288"/>
      <c r="P85" s="9"/>
    </row>
    <row r="86" spans="1:16" ht="19.5" customHeight="1">
      <c r="A86" s="50"/>
      <c r="B86" s="47" t="s">
        <v>20</v>
      </c>
      <c r="C86" s="54" t="s">
        <v>16</v>
      </c>
      <c r="D86" s="284">
        <v>4.9864</v>
      </c>
      <c r="E86" s="284">
        <v>3.2161</v>
      </c>
      <c r="F86" s="296">
        <v>4.5025</v>
      </c>
      <c r="G86" s="284">
        <v>7.6557</v>
      </c>
      <c r="H86" s="286">
        <v>3.5016</v>
      </c>
      <c r="I86" s="285">
        <v>3.1905</v>
      </c>
      <c r="J86" s="284">
        <v>0.6411</v>
      </c>
      <c r="K86" s="284">
        <v>0.3363</v>
      </c>
      <c r="L86" s="284">
        <v>1.7752</v>
      </c>
      <c r="M86" s="285">
        <v>1.1488</v>
      </c>
      <c r="N86" s="285">
        <v>0.9054</v>
      </c>
      <c r="O86" s="284">
        <v>2.7338</v>
      </c>
      <c r="P86" s="8">
        <f t="shared" si="17"/>
        <v>34.59340000000001</v>
      </c>
    </row>
    <row r="87" spans="1:16" ht="19.5" customHeight="1">
      <c r="A87" s="50"/>
      <c r="B87" s="48" t="s">
        <v>60</v>
      </c>
      <c r="C87" s="48" t="s">
        <v>18</v>
      </c>
      <c r="D87" s="288">
        <v>2264.104</v>
      </c>
      <c r="E87" s="288">
        <v>1673.395</v>
      </c>
      <c r="F87" s="300">
        <v>2356.988</v>
      </c>
      <c r="G87" s="288">
        <v>3056.239</v>
      </c>
      <c r="H87" s="290">
        <v>1359.614</v>
      </c>
      <c r="I87" s="289">
        <v>762.795</v>
      </c>
      <c r="J87" s="288">
        <v>289.056</v>
      </c>
      <c r="K87" s="288">
        <v>171.792</v>
      </c>
      <c r="L87" s="288">
        <v>769.353</v>
      </c>
      <c r="M87" s="336">
        <v>804.296</v>
      </c>
      <c r="N87" s="289">
        <v>418.395</v>
      </c>
      <c r="O87" s="288">
        <v>1644.594</v>
      </c>
      <c r="P87" s="9">
        <f t="shared" si="17"/>
        <v>15570.621</v>
      </c>
    </row>
    <row r="88" spans="1:16" ht="19.5" customHeight="1">
      <c r="A88" s="44" t="s">
        <v>23</v>
      </c>
      <c r="B88" s="380" t="s">
        <v>114</v>
      </c>
      <c r="C88" s="54" t="s">
        <v>16</v>
      </c>
      <c r="D88" s="26">
        <f aca="true" t="shared" si="18" ref="D88:K88">+D78+D80+D82+D84+D86</f>
        <v>6.9369</v>
      </c>
      <c r="E88" s="26">
        <f t="shared" si="18"/>
        <v>3.9596</v>
      </c>
      <c r="F88" s="26">
        <f t="shared" si="18"/>
        <v>5.2551000000000005</v>
      </c>
      <c r="G88" s="26">
        <f t="shared" si="18"/>
        <v>9.1335</v>
      </c>
      <c r="H88" s="26">
        <f t="shared" si="18"/>
        <v>5.6803</v>
      </c>
      <c r="I88" s="28">
        <f t="shared" si="18"/>
        <v>79.3245</v>
      </c>
      <c r="J88" s="26">
        <f t="shared" si="18"/>
        <v>7.9734</v>
      </c>
      <c r="K88" s="26">
        <f t="shared" si="18"/>
        <v>3.8261</v>
      </c>
      <c r="L88" s="28">
        <f>+L78+L80+L82+L84+L86</f>
        <v>2.8225</v>
      </c>
      <c r="M88" s="28">
        <f aca="true" t="shared" si="19" ref="M88:O89">+M78+M80+M82+M84+M86</f>
        <v>23.2362</v>
      </c>
      <c r="N88" s="28">
        <f t="shared" si="19"/>
        <v>11.828100000000001</v>
      </c>
      <c r="O88" s="28">
        <f t="shared" si="19"/>
        <v>9.0414</v>
      </c>
      <c r="P88" s="8">
        <f>SUM(D88:O88)</f>
        <v>169.01760000000002</v>
      </c>
    </row>
    <row r="89" spans="1:16" ht="19.5" customHeight="1">
      <c r="A89" s="49"/>
      <c r="B89" s="381"/>
      <c r="C89" s="48" t="s">
        <v>18</v>
      </c>
      <c r="D89" s="25">
        <f aca="true" t="shared" si="20" ref="D89:K89">+D79+D81+D83+D85+D87</f>
        <v>4149.063</v>
      </c>
      <c r="E89" s="25">
        <f t="shared" si="20"/>
        <v>2392.96</v>
      </c>
      <c r="F89" s="25">
        <f t="shared" si="20"/>
        <v>2973.783</v>
      </c>
      <c r="G89" s="25">
        <f t="shared" si="20"/>
        <v>4118.514</v>
      </c>
      <c r="H89" s="25">
        <f t="shared" si="20"/>
        <v>3291.696</v>
      </c>
      <c r="I89" s="86">
        <f t="shared" si="20"/>
        <v>57944.102999999996</v>
      </c>
      <c r="J89" s="25">
        <f t="shared" si="20"/>
        <v>3649.759</v>
      </c>
      <c r="K89" s="25">
        <f t="shared" si="20"/>
        <v>3172.254</v>
      </c>
      <c r="L89" s="86">
        <f>+L79+L81+L83+L85+L87</f>
        <v>1849.049</v>
      </c>
      <c r="M89" s="86">
        <f t="shared" si="19"/>
        <v>21299.57</v>
      </c>
      <c r="N89" s="86">
        <f t="shared" si="19"/>
        <v>7993.553</v>
      </c>
      <c r="O89" s="86">
        <f t="shared" si="19"/>
        <v>8300.764</v>
      </c>
      <c r="P89" s="9">
        <f>SUM(D89:O89)</f>
        <v>121135.06799999998</v>
      </c>
    </row>
    <row r="90" spans="1:16" ht="19.5" customHeight="1">
      <c r="A90" s="376" t="s">
        <v>118</v>
      </c>
      <c r="B90" s="377"/>
      <c r="C90" s="54" t="s">
        <v>16</v>
      </c>
      <c r="D90" s="284">
        <v>1.4661</v>
      </c>
      <c r="E90" s="284">
        <v>0.6209</v>
      </c>
      <c r="F90" s="296">
        <v>0.3391</v>
      </c>
      <c r="G90" s="284">
        <v>0.1495</v>
      </c>
      <c r="H90" s="286">
        <v>0.0222</v>
      </c>
      <c r="I90" s="285">
        <v>4.7952</v>
      </c>
      <c r="J90" s="284">
        <v>7.1592</v>
      </c>
      <c r="K90" s="284">
        <v>4.8843</v>
      </c>
      <c r="L90" s="284">
        <v>5.7518</v>
      </c>
      <c r="M90" s="285">
        <v>3.7522</v>
      </c>
      <c r="N90" s="285">
        <v>4.4137</v>
      </c>
      <c r="O90" s="284">
        <v>2.5744</v>
      </c>
      <c r="P90" s="8">
        <f t="shared" si="17"/>
        <v>35.928599999999996</v>
      </c>
    </row>
    <row r="91" spans="1:16" ht="19.5" customHeight="1">
      <c r="A91" s="378"/>
      <c r="B91" s="379"/>
      <c r="C91" s="48" t="s">
        <v>18</v>
      </c>
      <c r="D91" s="288">
        <v>1233.143</v>
      </c>
      <c r="E91" s="288">
        <v>620.294</v>
      </c>
      <c r="F91" s="300">
        <v>683.798</v>
      </c>
      <c r="G91" s="288">
        <v>291.251</v>
      </c>
      <c r="H91" s="290">
        <v>36.892</v>
      </c>
      <c r="I91" s="289">
        <v>4695.773</v>
      </c>
      <c r="J91" s="288">
        <v>6325.961</v>
      </c>
      <c r="K91" s="288">
        <v>4448.388</v>
      </c>
      <c r="L91" s="288">
        <v>4652.406</v>
      </c>
      <c r="M91" s="289">
        <v>3077.374</v>
      </c>
      <c r="N91" s="289">
        <v>3121.314</v>
      </c>
      <c r="O91" s="288">
        <v>1703.518</v>
      </c>
      <c r="P91" s="9">
        <f t="shared" si="17"/>
        <v>30890.111999999997</v>
      </c>
    </row>
    <row r="92" spans="1:16" ht="19.5" customHeight="1">
      <c r="A92" s="376" t="s">
        <v>61</v>
      </c>
      <c r="B92" s="377"/>
      <c r="C92" s="54" t="s">
        <v>16</v>
      </c>
      <c r="D92" s="284"/>
      <c r="E92" s="284"/>
      <c r="F92" s="296">
        <v>200.8365</v>
      </c>
      <c r="G92" s="284">
        <v>384.2508</v>
      </c>
      <c r="H92" s="286">
        <v>279.337</v>
      </c>
      <c r="I92" s="285">
        <v>11.595</v>
      </c>
      <c r="J92" s="284">
        <v>15</v>
      </c>
      <c r="K92" s="284">
        <v>8.415</v>
      </c>
      <c r="L92" s="284">
        <v>31.2</v>
      </c>
      <c r="M92" s="285">
        <v>97.95</v>
      </c>
      <c r="N92" s="285"/>
      <c r="O92" s="284">
        <v>75.75</v>
      </c>
      <c r="P92" s="8">
        <f t="shared" si="17"/>
        <v>1104.3343</v>
      </c>
    </row>
    <row r="93" spans="1:16" ht="19.5" customHeight="1">
      <c r="A93" s="378"/>
      <c r="B93" s="379"/>
      <c r="C93" s="48" t="s">
        <v>18</v>
      </c>
      <c r="D93" s="288"/>
      <c r="E93" s="288"/>
      <c r="F93" s="300">
        <v>19143.388</v>
      </c>
      <c r="G93" s="288">
        <v>57724.302</v>
      </c>
      <c r="H93" s="290">
        <v>22456.944</v>
      </c>
      <c r="I93" s="289">
        <v>668.466</v>
      </c>
      <c r="J93" s="288">
        <v>753.3</v>
      </c>
      <c r="K93" s="288">
        <v>749.777</v>
      </c>
      <c r="L93" s="288">
        <v>1465.776</v>
      </c>
      <c r="M93" s="289">
        <v>4707.477</v>
      </c>
      <c r="N93" s="289"/>
      <c r="O93" s="288">
        <v>3599.64</v>
      </c>
      <c r="P93" s="9">
        <f t="shared" si="17"/>
        <v>111269.07</v>
      </c>
    </row>
    <row r="94" spans="1:16" ht="19.5" customHeight="1">
      <c r="A94" s="376" t="s">
        <v>119</v>
      </c>
      <c r="B94" s="377"/>
      <c r="C94" s="54" t="s">
        <v>16</v>
      </c>
      <c r="D94" s="284"/>
      <c r="E94" s="284"/>
      <c r="F94" s="296"/>
      <c r="G94" s="284"/>
      <c r="H94" s="286"/>
      <c r="I94" s="285"/>
      <c r="J94" s="284"/>
      <c r="K94" s="284">
        <v>0.0025</v>
      </c>
      <c r="L94" s="284">
        <v>0.0069</v>
      </c>
      <c r="M94" s="285"/>
      <c r="N94" s="285"/>
      <c r="O94" s="284">
        <v>0.0008</v>
      </c>
      <c r="P94" s="8">
        <f t="shared" si="17"/>
        <v>0.0102</v>
      </c>
    </row>
    <row r="95" spans="1:16" ht="19.5" customHeight="1">
      <c r="A95" s="378"/>
      <c r="B95" s="379"/>
      <c r="C95" s="48" t="s">
        <v>18</v>
      </c>
      <c r="D95" s="288"/>
      <c r="E95" s="288"/>
      <c r="F95" s="300"/>
      <c r="G95" s="288"/>
      <c r="H95" s="290"/>
      <c r="I95" s="289"/>
      <c r="J95" s="288"/>
      <c r="K95" s="288">
        <v>2.506</v>
      </c>
      <c r="L95" s="288">
        <v>13.673</v>
      </c>
      <c r="M95" s="289"/>
      <c r="N95" s="289"/>
      <c r="O95" s="288">
        <v>1.123</v>
      </c>
      <c r="P95" s="9">
        <f t="shared" si="17"/>
        <v>17.302</v>
      </c>
    </row>
    <row r="96" spans="1:16" ht="19.5" customHeight="1">
      <c r="A96" s="376" t="s">
        <v>120</v>
      </c>
      <c r="B96" s="377"/>
      <c r="C96" s="54" t="s">
        <v>16</v>
      </c>
      <c r="D96" s="284"/>
      <c r="E96" s="284">
        <v>0.203</v>
      </c>
      <c r="F96" s="296">
        <v>0.0435</v>
      </c>
      <c r="G96" s="284">
        <v>0.062</v>
      </c>
      <c r="H96" s="286">
        <v>0.0156</v>
      </c>
      <c r="I96" s="285">
        <v>0.3953</v>
      </c>
      <c r="J96" s="284"/>
      <c r="K96" s="284"/>
      <c r="L96" s="284">
        <v>0.1112</v>
      </c>
      <c r="M96" s="285">
        <v>0.0742</v>
      </c>
      <c r="N96" s="285"/>
      <c r="O96" s="284"/>
      <c r="P96" s="8">
        <f t="shared" si="17"/>
        <v>0.9048</v>
      </c>
    </row>
    <row r="97" spans="1:16" ht="19.5" customHeight="1">
      <c r="A97" s="378"/>
      <c r="B97" s="379"/>
      <c r="C97" s="48" t="s">
        <v>18</v>
      </c>
      <c r="D97" s="288"/>
      <c r="E97" s="288">
        <v>97.125</v>
      </c>
      <c r="F97" s="300">
        <v>36.467</v>
      </c>
      <c r="G97" s="288">
        <v>34.387</v>
      </c>
      <c r="H97" s="290">
        <v>16.681</v>
      </c>
      <c r="I97" s="289">
        <v>220.601</v>
      </c>
      <c r="J97" s="288"/>
      <c r="K97" s="288"/>
      <c r="L97" s="288">
        <v>117.882</v>
      </c>
      <c r="M97" s="289">
        <v>49.302</v>
      </c>
      <c r="N97" s="289"/>
      <c r="O97" s="288"/>
      <c r="P97" s="9">
        <f t="shared" si="17"/>
        <v>572.445</v>
      </c>
    </row>
    <row r="98" spans="1:16" ht="19.5" customHeight="1">
      <c r="A98" s="376" t="s">
        <v>63</v>
      </c>
      <c r="B98" s="377"/>
      <c r="C98" s="54" t="s">
        <v>16</v>
      </c>
      <c r="D98" s="284"/>
      <c r="E98" s="284"/>
      <c r="F98" s="296"/>
      <c r="G98" s="284"/>
      <c r="H98" s="286"/>
      <c r="I98" s="285">
        <v>0.0005</v>
      </c>
      <c r="J98" s="284"/>
      <c r="K98" s="284"/>
      <c r="L98" s="284">
        <v>0.0007</v>
      </c>
      <c r="M98" s="285"/>
      <c r="N98" s="285">
        <v>0.0028</v>
      </c>
      <c r="O98" s="284"/>
      <c r="P98" s="8">
        <f t="shared" si="17"/>
        <v>0.004</v>
      </c>
    </row>
    <row r="99" spans="1:16" ht="19.5" customHeight="1">
      <c r="A99" s="378"/>
      <c r="B99" s="379"/>
      <c r="C99" s="48" t="s">
        <v>18</v>
      </c>
      <c r="D99" s="288"/>
      <c r="E99" s="288"/>
      <c r="F99" s="300"/>
      <c r="G99" s="288"/>
      <c r="H99" s="290"/>
      <c r="I99" s="289">
        <v>0.432</v>
      </c>
      <c r="J99" s="288"/>
      <c r="K99" s="288"/>
      <c r="L99" s="288">
        <v>0.756</v>
      </c>
      <c r="M99" s="289"/>
      <c r="N99" s="289">
        <v>3.629</v>
      </c>
      <c r="O99" s="288"/>
      <c r="P99" s="9">
        <f t="shared" si="17"/>
        <v>4.817</v>
      </c>
    </row>
    <row r="100" spans="1:16" ht="19.5" customHeight="1">
      <c r="A100" s="376" t="s">
        <v>121</v>
      </c>
      <c r="B100" s="377"/>
      <c r="C100" s="54" t="s">
        <v>16</v>
      </c>
      <c r="D100" s="284"/>
      <c r="E100" s="284"/>
      <c r="F100" s="296"/>
      <c r="G100" s="284"/>
      <c r="H100" s="286"/>
      <c r="I100" s="285"/>
      <c r="J100" s="284"/>
      <c r="K100" s="284"/>
      <c r="L100" s="284"/>
      <c r="M100" s="285"/>
      <c r="N100" s="285"/>
      <c r="O100" s="284"/>
      <c r="P100" s="8"/>
    </row>
    <row r="101" spans="1:16" ht="19.5" customHeight="1">
      <c r="A101" s="378"/>
      <c r="B101" s="379"/>
      <c r="C101" s="48" t="s">
        <v>18</v>
      </c>
      <c r="D101" s="288"/>
      <c r="E101" s="288"/>
      <c r="F101" s="300"/>
      <c r="G101" s="288"/>
      <c r="H101" s="290"/>
      <c r="I101" s="289"/>
      <c r="J101" s="288"/>
      <c r="K101" s="288"/>
      <c r="L101" s="288"/>
      <c r="M101" s="289"/>
      <c r="N101" s="289"/>
      <c r="O101" s="288"/>
      <c r="P101" s="9"/>
    </row>
    <row r="102" spans="1:16" ht="19.5" customHeight="1">
      <c r="A102" s="376" t="s">
        <v>64</v>
      </c>
      <c r="B102" s="377"/>
      <c r="C102" s="54" t="s">
        <v>16</v>
      </c>
      <c r="D102" s="284">
        <v>5.134</v>
      </c>
      <c r="E102" s="284">
        <v>2.513</v>
      </c>
      <c r="F102" s="296">
        <v>2.7082</v>
      </c>
      <c r="G102" s="284">
        <v>5.1563</v>
      </c>
      <c r="H102" s="286">
        <v>17.077</v>
      </c>
      <c r="I102" s="285">
        <v>31.0369</v>
      </c>
      <c r="J102" s="284">
        <v>24.8681</v>
      </c>
      <c r="K102" s="284">
        <v>16.3144</v>
      </c>
      <c r="L102" s="284">
        <v>73.6391</v>
      </c>
      <c r="M102" s="285">
        <v>13.916</v>
      </c>
      <c r="N102" s="285">
        <v>45.9614</v>
      </c>
      <c r="O102" s="284">
        <v>31.2197</v>
      </c>
      <c r="P102" s="8">
        <f t="shared" si="17"/>
        <v>269.5441</v>
      </c>
    </row>
    <row r="103" spans="1:16" ht="19.5" customHeight="1">
      <c r="A103" s="378"/>
      <c r="B103" s="379"/>
      <c r="C103" s="48" t="s">
        <v>18</v>
      </c>
      <c r="D103" s="288">
        <v>1378.37</v>
      </c>
      <c r="E103" s="288">
        <v>1005</v>
      </c>
      <c r="F103" s="300">
        <v>1625.929</v>
      </c>
      <c r="G103" s="288">
        <v>2286.486</v>
      </c>
      <c r="H103" s="290">
        <v>5274.179</v>
      </c>
      <c r="I103" s="289">
        <v>4299.01</v>
      </c>
      <c r="J103" s="288">
        <v>1994.285</v>
      </c>
      <c r="K103" s="288">
        <v>3495.524</v>
      </c>
      <c r="L103" s="288">
        <v>16002.38</v>
      </c>
      <c r="M103" s="289">
        <v>7340.951</v>
      </c>
      <c r="N103" s="289">
        <v>16159.301</v>
      </c>
      <c r="O103" s="288">
        <v>27210.707</v>
      </c>
      <c r="P103" s="9">
        <f t="shared" si="17"/>
        <v>88072.122</v>
      </c>
    </row>
    <row r="104" spans="1:16" ht="19.5" customHeight="1">
      <c r="A104" s="384" t="s">
        <v>65</v>
      </c>
      <c r="B104" s="385"/>
      <c r="C104" s="54" t="s">
        <v>16</v>
      </c>
      <c r="D104" s="26">
        <f aca="true" t="shared" si="21" ref="D104:K104">+D9+D11+D23+D29+D37+D39+D41+D43+D45+D47+D49+D51+D53+D59+D76+D88+D90+D92+D94+D96+D98+D100+D102</f>
        <v>2147.9309000000003</v>
      </c>
      <c r="E104" s="26">
        <f t="shared" si="21"/>
        <v>969.6734000000002</v>
      </c>
      <c r="F104" s="26">
        <f t="shared" si="21"/>
        <v>553.7577</v>
      </c>
      <c r="G104" s="26">
        <f t="shared" si="21"/>
        <v>989.0379000000001</v>
      </c>
      <c r="H104" s="26">
        <f t="shared" si="21"/>
        <v>1853.0015999999998</v>
      </c>
      <c r="I104" s="28">
        <f t="shared" si="21"/>
        <v>2841.4508000000005</v>
      </c>
      <c r="J104" s="26">
        <f t="shared" si="21"/>
        <v>5335.7025</v>
      </c>
      <c r="K104" s="26">
        <f t="shared" si="21"/>
        <v>2423.721600000001</v>
      </c>
      <c r="L104" s="28">
        <f aca="true" t="shared" si="22" ref="L104:O105">+L9+L11+L23+L29+L37+L39+L41+L43+L45+L47+L49+L51+L53+L59+L76+L88+L90+L92+L94+L96+L98+L100+L102</f>
        <v>5256.108000000001</v>
      </c>
      <c r="M104" s="28">
        <f t="shared" si="22"/>
        <v>8993.267999999998</v>
      </c>
      <c r="N104" s="28">
        <f t="shared" si="22"/>
        <v>13444.437899999999</v>
      </c>
      <c r="O104" s="28">
        <f t="shared" si="22"/>
        <v>3463.1744</v>
      </c>
      <c r="P104" s="8">
        <f>SUM(D104:O104)</f>
        <v>48271.2647</v>
      </c>
    </row>
    <row r="105" spans="1:16" ht="19.5" customHeight="1">
      <c r="A105" s="386"/>
      <c r="B105" s="387"/>
      <c r="C105" s="48" t="s">
        <v>18</v>
      </c>
      <c r="D105" s="25">
        <f aca="true" t="shared" si="23" ref="D105:K105">+D10+D12+D24+D30+D38+D40+D42+D44+D46+D48+D50+D52+D54+D60+D77+D89+D91+D93+D95+D97+D99+D101+D103</f>
        <v>231530.50499999998</v>
      </c>
      <c r="E105" s="25">
        <f t="shared" si="23"/>
        <v>80800.72000000002</v>
      </c>
      <c r="F105" s="25">
        <f t="shared" si="23"/>
        <v>58224.72899999999</v>
      </c>
      <c r="G105" s="25">
        <f t="shared" si="23"/>
        <v>254024.99899999995</v>
      </c>
      <c r="H105" s="25">
        <f t="shared" si="23"/>
        <v>541535.309</v>
      </c>
      <c r="I105" s="86">
        <f t="shared" si="23"/>
        <v>1064584.0250000001</v>
      </c>
      <c r="J105" s="25">
        <f t="shared" si="23"/>
        <v>2035409.638</v>
      </c>
      <c r="K105" s="25">
        <f t="shared" si="23"/>
        <v>625231.155</v>
      </c>
      <c r="L105" s="86">
        <f t="shared" si="22"/>
        <v>997736.1879999997</v>
      </c>
      <c r="M105" s="86">
        <f t="shared" si="22"/>
        <v>1117598.5739999998</v>
      </c>
      <c r="N105" s="86">
        <f t="shared" si="22"/>
        <v>935370.1839999999</v>
      </c>
      <c r="O105" s="86">
        <f t="shared" si="22"/>
        <v>311519.45100000006</v>
      </c>
      <c r="P105" s="9">
        <f>SUM(D105:O105)</f>
        <v>8253565.477000001</v>
      </c>
    </row>
    <row r="106" spans="1:16" ht="19.5" customHeight="1">
      <c r="A106" s="44" t="s">
        <v>0</v>
      </c>
      <c r="B106" s="382" t="s">
        <v>134</v>
      </c>
      <c r="C106" s="54" t="s">
        <v>16</v>
      </c>
      <c r="D106" s="284">
        <v>0.0508</v>
      </c>
      <c r="E106" s="284"/>
      <c r="F106" s="296">
        <v>0.0247</v>
      </c>
      <c r="G106" s="284">
        <v>0.0711</v>
      </c>
      <c r="H106" s="286">
        <v>0.1819</v>
      </c>
      <c r="I106" s="285">
        <v>0.0357</v>
      </c>
      <c r="J106" s="284">
        <v>0.0333</v>
      </c>
      <c r="K106" s="284"/>
      <c r="L106" s="284">
        <v>0.1978</v>
      </c>
      <c r="M106" s="285"/>
      <c r="N106" s="285">
        <v>0.0299</v>
      </c>
      <c r="O106" s="284">
        <v>0.1024</v>
      </c>
      <c r="P106" s="8">
        <f t="shared" si="17"/>
        <v>0.7276000000000001</v>
      </c>
    </row>
    <row r="107" spans="1:16" ht="19.5" customHeight="1">
      <c r="A107" s="44" t="s">
        <v>0</v>
      </c>
      <c r="B107" s="383"/>
      <c r="C107" s="48" t="s">
        <v>18</v>
      </c>
      <c r="D107" s="288">
        <v>158.781</v>
      </c>
      <c r="E107" s="288"/>
      <c r="F107" s="300">
        <v>84.483</v>
      </c>
      <c r="G107" s="288">
        <v>254.719</v>
      </c>
      <c r="H107" s="290">
        <v>642.879</v>
      </c>
      <c r="I107" s="289">
        <v>114.772</v>
      </c>
      <c r="J107" s="288">
        <v>123.4</v>
      </c>
      <c r="K107" s="288"/>
      <c r="L107" s="288">
        <v>577.691</v>
      </c>
      <c r="M107" s="289"/>
      <c r="N107" s="289">
        <v>158.425</v>
      </c>
      <c r="O107" s="288">
        <v>434.344</v>
      </c>
      <c r="P107" s="9">
        <f t="shared" si="17"/>
        <v>2549.494</v>
      </c>
    </row>
    <row r="108" spans="1:16" ht="19.5" customHeight="1">
      <c r="A108" s="44" t="s">
        <v>66</v>
      </c>
      <c r="B108" s="382" t="s">
        <v>135</v>
      </c>
      <c r="C108" s="54" t="s">
        <v>16</v>
      </c>
      <c r="D108" s="284">
        <v>8.7606</v>
      </c>
      <c r="E108" s="284">
        <v>1.9197</v>
      </c>
      <c r="F108" s="296">
        <v>1.3667</v>
      </c>
      <c r="G108" s="284">
        <v>2.1588</v>
      </c>
      <c r="H108" s="286">
        <v>2.9757</v>
      </c>
      <c r="I108" s="285">
        <v>12.9664</v>
      </c>
      <c r="J108" s="284">
        <v>41.6488</v>
      </c>
      <c r="K108" s="284">
        <v>10.7735</v>
      </c>
      <c r="L108" s="284">
        <v>0.9419</v>
      </c>
      <c r="M108" s="285">
        <v>1.1127</v>
      </c>
      <c r="N108" s="285">
        <v>1.8432</v>
      </c>
      <c r="O108" s="284">
        <v>2.7911</v>
      </c>
      <c r="P108" s="8">
        <f aca="true" t="shared" si="24" ref="P108:P136">SUM(D108:O108)</f>
        <v>89.2591</v>
      </c>
    </row>
    <row r="109" spans="1:16" ht="19.5" customHeight="1">
      <c r="A109" s="44" t="s">
        <v>0</v>
      </c>
      <c r="B109" s="383"/>
      <c r="C109" s="48" t="s">
        <v>18</v>
      </c>
      <c r="D109" s="288">
        <v>3485.449</v>
      </c>
      <c r="E109" s="288">
        <v>777.29</v>
      </c>
      <c r="F109" s="300">
        <v>798.978</v>
      </c>
      <c r="G109" s="288">
        <v>1290.385</v>
      </c>
      <c r="H109" s="290">
        <v>1704.585</v>
      </c>
      <c r="I109" s="289">
        <v>6338.699</v>
      </c>
      <c r="J109" s="288">
        <v>18997.63</v>
      </c>
      <c r="K109" s="288">
        <v>5185.247</v>
      </c>
      <c r="L109" s="288">
        <v>424.97</v>
      </c>
      <c r="M109" s="289">
        <v>527.883</v>
      </c>
      <c r="N109" s="289">
        <v>1181.349</v>
      </c>
      <c r="O109" s="288">
        <v>1780.663</v>
      </c>
      <c r="P109" s="9">
        <f t="shared" si="24"/>
        <v>42493.12800000001</v>
      </c>
    </row>
    <row r="110" spans="1:16" ht="19.5" customHeight="1">
      <c r="A110" s="44" t="s">
        <v>0</v>
      </c>
      <c r="B110" s="382" t="s">
        <v>124</v>
      </c>
      <c r="C110" s="54" t="s">
        <v>16</v>
      </c>
      <c r="D110" s="284">
        <v>63.8467</v>
      </c>
      <c r="E110" s="284">
        <v>8.7084</v>
      </c>
      <c r="F110" s="296">
        <v>0.0197</v>
      </c>
      <c r="G110" s="284">
        <v>6.9734</v>
      </c>
      <c r="H110" s="286">
        <v>12.8636</v>
      </c>
      <c r="I110" s="285">
        <v>47.555</v>
      </c>
      <c r="J110" s="284">
        <v>15.9325</v>
      </c>
      <c r="K110" s="284">
        <v>29.8535</v>
      </c>
      <c r="L110" s="284">
        <v>26.9562</v>
      </c>
      <c r="M110" s="285">
        <v>134.7865</v>
      </c>
      <c r="N110" s="285">
        <v>247.3255</v>
      </c>
      <c r="O110" s="284">
        <v>139.8926</v>
      </c>
      <c r="P110" s="8">
        <f t="shared" si="24"/>
        <v>734.7136</v>
      </c>
    </row>
    <row r="111" spans="1:16" ht="19.5" customHeight="1">
      <c r="A111" s="50"/>
      <c r="B111" s="383"/>
      <c r="C111" s="48" t="s">
        <v>18</v>
      </c>
      <c r="D111" s="288">
        <v>15766.823</v>
      </c>
      <c r="E111" s="288">
        <v>1680.772</v>
      </c>
      <c r="F111" s="300">
        <v>21.599</v>
      </c>
      <c r="G111" s="288">
        <v>6062.994</v>
      </c>
      <c r="H111" s="290">
        <v>7820.684</v>
      </c>
      <c r="I111" s="289">
        <v>2939.321</v>
      </c>
      <c r="J111" s="288">
        <v>2017.948</v>
      </c>
      <c r="K111" s="288">
        <v>8769.549</v>
      </c>
      <c r="L111" s="288">
        <v>6043.028</v>
      </c>
      <c r="M111" s="289">
        <v>28545.111</v>
      </c>
      <c r="N111" s="289">
        <v>50296.368</v>
      </c>
      <c r="O111" s="288">
        <v>43589.187</v>
      </c>
      <c r="P111" s="9">
        <f t="shared" si="24"/>
        <v>173553.384</v>
      </c>
    </row>
    <row r="112" spans="1:16" ht="19.5" customHeight="1">
      <c r="A112" s="44" t="s">
        <v>67</v>
      </c>
      <c r="B112" s="382" t="s">
        <v>125</v>
      </c>
      <c r="C112" s="54" t="s">
        <v>16</v>
      </c>
      <c r="D112" s="284"/>
      <c r="E112" s="284"/>
      <c r="F112" s="296"/>
      <c r="G112" s="284"/>
      <c r="H112" s="286"/>
      <c r="I112" s="285">
        <v>0.1378</v>
      </c>
      <c r="J112" s="284">
        <v>0.0106</v>
      </c>
      <c r="K112" s="284">
        <v>0.0075</v>
      </c>
      <c r="L112" s="284">
        <v>0.0226</v>
      </c>
      <c r="M112" s="285">
        <v>0.0259</v>
      </c>
      <c r="N112" s="285">
        <v>0.0012</v>
      </c>
      <c r="O112" s="284">
        <v>0.0234</v>
      </c>
      <c r="P112" s="8">
        <f t="shared" si="24"/>
        <v>0.22900000000000004</v>
      </c>
    </row>
    <row r="113" spans="1:16" ht="19.5" customHeight="1">
      <c r="A113" s="50"/>
      <c r="B113" s="383"/>
      <c r="C113" s="48" t="s">
        <v>18</v>
      </c>
      <c r="D113" s="288"/>
      <c r="E113" s="288"/>
      <c r="F113" s="300"/>
      <c r="G113" s="288"/>
      <c r="H113" s="290"/>
      <c r="I113" s="289">
        <v>262.796</v>
      </c>
      <c r="J113" s="288">
        <v>5.541</v>
      </c>
      <c r="K113" s="288">
        <v>8.1</v>
      </c>
      <c r="L113" s="288">
        <v>24.408</v>
      </c>
      <c r="M113" s="289">
        <v>27.972</v>
      </c>
      <c r="N113" s="289">
        <v>1.296</v>
      </c>
      <c r="O113" s="288">
        <v>24.894</v>
      </c>
      <c r="P113" s="9">
        <f t="shared" si="24"/>
        <v>355.007</v>
      </c>
    </row>
    <row r="114" spans="1:16" ht="19.5" customHeight="1">
      <c r="A114" s="50"/>
      <c r="B114" s="382" t="s">
        <v>136</v>
      </c>
      <c r="C114" s="54" t="s">
        <v>16</v>
      </c>
      <c r="D114" s="284">
        <v>0.0248</v>
      </c>
      <c r="E114" s="284">
        <v>0.1255</v>
      </c>
      <c r="F114" s="296">
        <v>0.537</v>
      </c>
      <c r="G114" s="284">
        <v>1.0332</v>
      </c>
      <c r="H114" s="286">
        <v>0.7505</v>
      </c>
      <c r="I114" s="285">
        <v>0.1143</v>
      </c>
      <c r="J114" s="284">
        <v>0.0876</v>
      </c>
      <c r="K114" s="284">
        <v>0.0628</v>
      </c>
      <c r="L114" s="284">
        <v>0.0863</v>
      </c>
      <c r="M114" s="285">
        <v>0.1788</v>
      </c>
      <c r="N114" s="285">
        <v>0.0936</v>
      </c>
      <c r="O114" s="284">
        <v>0.2387</v>
      </c>
      <c r="P114" s="8">
        <f t="shared" si="24"/>
        <v>3.3331000000000004</v>
      </c>
    </row>
    <row r="115" spans="1:16" ht="19.5" customHeight="1">
      <c r="A115" s="50"/>
      <c r="B115" s="383"/>
      <c r="C115" s="48" t="s">
        <v>18</v>
      </c>
      <c r="D115" s="288">
        <v>31.605</v>
      </c>
      <c r="E115" s="288">
        <v>72.158</v>
      </c>
      <c r="F115" s="300">
        <v>309.639</v>
      </c>
      <c r="G115" s="288">
        <v>628.112</v>
      </c>
      <c r="H115" s="290">
        <v>493.825</v>
      </c>
      <c r="I115" s="289">
        <v>54.902</v>
      </c>
      <c r="J115" s="288">
        <v>108.575</v>
      </c>
      <c r="K115" s="288">
        <v>110.522</v>
      </c>
      <c r="L115" s="288">
        <v>110.779</v>
      </c>
      <c r="M115" s="289">
        <v>208.454</v>
      </c>
      <c r="N115" s="289">
        <v>71.819</v>
      </c>
      <c r="O115" s="288">
        <v>134.544</v>
      </c>
      <c r="P115" s="9">
        <f t="shared" si="24"/>
        <v>2334.934</v>
      </c>
    </row>
    <row r="116" spans="1:16" ht="19.5" customHeight="1">
      <c r="A116" s="44" t="s">
        <v>68</v>
      </c>
      <c r="B116" s="382" t="s">
        <v>127</v>
      </c>
      <c r="C116" s="54" t="s">
        <v>16</v>
      </c>
      <c r="D116" s="284"/>
      <c r="E116" s="284">
        <v>38.1</v>
      </c>
      <c r="F116" s="296">
        <v>1995.72</v>
      </c>
      <c r="G116" s="284">
        <v>2992.68</v>
      </c>
      <c r="H116" s="286">
        <v>194.43</v>
      </c>
      <c r="I116" s="285">
        <v>0.02</v>
      </c>
      <c r="J116" s="284">
        <v>1</v>
      </c>
      <c r="K116" s="284"/>
      <c r="L116" s="284"/>
      <c r="M116" s="285"/>
      <c r="N116" s="285"/>
      <c r="O116" s="284"/>
      <c r="P116" s="8">
        <f t="shared" si="24"/>
        <v>5221.950000000001</v>
      </c>
    </row>
    <row r="117" spans="1:16" ht="19.5" customHeight="1">
      <c r="A117" s="50"/>
      <c r="B117" s="383"/>
      <c r="C117" s="48" t="s">
        <v>18</v>
      </c>
      <c r="D117" s="288"/>
      <c r="E117" s="288">
        <v>1420.178</v>
      </c>
      <c r="F117" s="300">
        <v>83729.406</v>
      </c>
      <c r="G117" s="288">
        <v>163209.739</v>
      </c>
      <c r="H117" s="290">
        <v>15972.876</v>
      </c>
      <c r="I117" s="289">
        <v>14.04</v>
      </c>
      <c r="J117" s="288">
        <v>572.4</v>
      </c>
      <c r="K117" s="288"/>
      <c r="L117" s="288"/>
      <c r="M117" s="289"/>
      <c r="N117" s="289"/>
      <c r="O117" s="288"/>
      <c r="P117" s="9">
        <f t="shared" si="24"/>
        <v>264918.639</v>
      </c>
    </row>
    <row r="118" spans="1:16" ht="19.5" customHeight="1">
      <c r="A118" s="50"/>
      <c r="B118" s="382" t="s">
        <v>128</v>
      </c>
      <c r="C118" s="54" t="s">
        <v>16</v>
      </c>
      <c r="D118" s="284">
        <v>0.0135</v>
      </c>
      <c r="E118" s="284">
        <v>0.019</v>
      </c>
      <c r="F118" s="296">
        <v>0.0355</v>
      </c>
      <c r="G118" s="284"/>
      <c r="H118" s="286"/>
      <c r="I118" s="285">
        <v>0.5036</v>
      </c>
      <c r="J118" s="284"/>
      <c r="K118" s="284"/>
      <c r="L118" s="284"/>
      <c r="M118" s="285"/>
      <c r="N118" s="285">
        <v>0.0065</v>
      </c>
      <c r="O118" s="284">
        <v>0.0416</v>
      </c>
      <c r="P118" s="8">
        <f t="shared" si="24"/>
        <v>0.6197</v>
      </c>
    </row>
    <row r="119" spans="1:16" ht="19.5" customHeight="1">
      <c r="A119" s="50"/>
      <c r="B119" s="383"/>
      <c r="C119" s="48" t="s">
        <v>18</v>
      </c>
      <c r="D119" s="288">
        <v>10.763</v>
      </c>
      <c r="E119" s="288">
        <v>15.96</v>
      </c>
      <c r="F119" s="300">
        <v>25.988</v>
      </c>
      <c r="G119" s="288"/>
      <c r="H119" s="290"/>
      <c r="I119" s="289">
        <v>359.867</v>
      </c>
      <c r="J119" s="288"/>
      <c r="K119" s="288"/>
      <c r="L119" s="288"/>
      <c r="M119" s="289"/>
      <c r="N119" s="289">
        <v>5.967</v>
      </c>
      <c r="O119" s="288">
        <v>41.223</v>
      </c>
      <c r="P119" s="9">
        <f t="shared" si="24"/>
        <v>459.76800000000003</v>
      </c>
    </row>
    <row r="120" spans="1:16" ht="19.5" customHeight="1">
      <c r="A120" s="44" t="s">
        <v>70</v>
      </c>
      <c r="B120" s="382" t="s">
        <v>137</v>
      </c>
      <c r="C120" s="54" t="s">
        <v>16</v>
      </c>
      <c r="D120" s="284">
        <v>0.75</v>
      </c>
      <c r="E120" s="284">
        <v>0.39</v>
      </c>
      <c r="F120" s="296">
        <v>1.05</v>
      </c>
      <c r="G120" s="284">
        <v>0.645</v>
      </c>
      <c r="H120" s="286">
        <v>0.03</v>
      </c>
      <c r="I120" s="285">
        <v>6.529</v>
      </c>
      <c r="J120" s="284"/>
      <c r="K120" s="284"/>
      <c r="L120" s="284"/>
      <c r="M120" s="285">
        <v>0.51</v>
      </c>
      <c r="N120" s="285">
        <v>3.435</v>
      </c>
      <c r="O120" s="284">
        <v>1.11</v>
      </c>
      <c r="P120" s="8">
        <f t="shared" si="24"/>
        <v>14.449</v>
      </c>
    </row>
    <row r="121" spans="1:16" ht="19.5" customHeight="1">
      <c r="A121" s="50"/>
      <c r="B121" s="383"/>
      <c r="C121" s="48" t="s">
        <v>18</v>
      </c>
      <c r="D121" s="288">
        <v>52.5</v>
      </c>
      <c r="E121" s="288">
        <v>27.3</v>
      </c>
      <c r="F121" s="300">
        <v>73.5</v>
      </c>
      <c r="G121" s="288">
        <v>46.44</v>
      </c>
      <c r="H121" s="290">
        <v>2.16</v>
      </c>
      <c r="I121" s="289">
        <v>957.162</v>
      </c>
      <c r="J121" s="288"/>
      <c r="K121" s="288"/>
      <c r="L121" s="288"/>
      <c r="M121" s="289">
        <v>36.72</v>
      </c>
      <c r="N121" s="289">
        <v>247.32</v>
      </c>
      <c r="O121" s="288">
        <v>79.92</v>
      </c>
      <c r="P121" s="9">
        <f t="shared" si="24"/>
        <v>1523.0220000000002</v>
      </c>
    </row>
    <row r="122" spans="1:16" ht="19.5" customHeight="1">
      <c r="A122" s="50"/>
      <c r="B122" s="382" t="s">
        <v>72</v>
      </c>
      <c r="C122" s="54" t="s">
        <v>16</v>
      </c>
      <c r="D122" s="284">
        <v>0.08</v>
      </c>
      <c r="E122" s="284">
        <v>0.07</v>
      </c>
      <c r="F122" s="296">
        <v>0.12</v>
      </c>
      <c r="G122" s="284">
        <v>0.08</v>
      </c>
      <c r="H122" s="286">
        <v>0.135</v>
      </c>
      <c r="I122" s="285"/>
      <c r="J122" s="284">
        <v>0.015</v>
      </c>
      <c r="K122" s="284"/>
      <c r="L122" s="284">
        <v>0.0764</v>
      </c>
      <c r="M122" s="285"/>
      <c r="N122" s="285">
        <v>0.04</v>
      </c>
      <c r="O122" s="284">
        <v>0.09</v>
      </c>
      <c r="P122" s="8">
        <f t="shared" si="24"/>
        <v>0.7064</v>
      </c>
    </row>
    <row r="123" spans="1:16" ht="19.5" customHeight="1">
      <c r="A123" s="50"/>
      <c r="B123" s="383"/>
      <c r="C123" s="48" t="s">
        <v>18</v>
      </c>
      <c r="D123" s="288">
        <v>54.603</v>
      </c>
      <c r="E123" s="288">
        <v>47.782</v>
      </c>
      <c r="F123" s="300">
        <v>81.909</v>
      </c>
      <c r="G123" s="288">
        <v>56.16</v>
      </c>
      <c r="H123" s="290">
        <v>94.77</v>
      </c>
      <c r="I123" s="289"/>
      <c r="J123" s="288">
        <v>9.99</v>
      </c>
      <c r="K123" s="288"/>
      <c r="L123" s="288">
        <v>27.605</v>
      </c>
      <c r="M123" s="289"/>
      <c r="N123" s="289">
        <v>28.08</v>
      </c>
      <c r="O123" s="288">
        <v>63.18</v>
      </c>
      <c r="P123" s="9">
        <f t="shared" si="24"/>
        <v>464.079</v>
      </c>
    </row>
    <row r="124" spans="1:16" ht="19.5" customHeight="1">
      <c r="A124" s="44" t="s">
        <v>23</v>
      </c>
      <c r="B124" s="382" t="s">
        <v>130</v>
      </c>
      <c r="C124" s="54" t="s">
        <v>16</v>
      </c>
      <c r="D124" s="284">
        <v>0.4707</v>
      </c>
      <c r="E124" s="284">
        <v>0.3097</v>
      </c>
      <c r="F124" s="296">
        <v>0.5266</v>
      </c>
      <c r="G124" s="284">
        <v>0.5382</v>
      </c>
      <c r="H124" s="286">
        <v>0.445</v>
      </c>
      <c r="I124" s="285"/>
      <c r="J124" s="284">
        <v>6.5092</v>
      </c>
      <c r="K124" s="284">
        <v>3.045</v>
      </c>
      <c r="L124" s="284">
        <v>0.5313</v>
      </c>
      <c r="M124" s="285">
        <v>0.3548</v>
      </c>
      <c r="N124" s="285">
        <v>0.75</v>
      </c>
      <c r="O124" s="284">
        <v>0.7912</v>
      </c>
      <c r="P124" s="8">
        <f t="shared" si="24"/>
        <v>14.2717</v>
      </c>
    </row>
    <row r="125" spans="1:16" ht="19.5" customHeight="1">
      <c r="A125" s="50"/>
      <c r="B125" s="383"/>
      <c r="C125" s="48" t="s">
        <v>18</v>
      </c>
      <c r="D125" s="288">
        <v>238.095</v>
      </c>
      <c r="E125" s="288">
        <v>178.155</v>
      </c>
      <c r="F125" s="300">
        <v>279.623</v>
      </c>
      <c r="G125" s="288">
        <v>266.263</v>
      </c>
      <c r="H125" s="290">
        <v>246.622</v>
      </c>
      <c r="I125" s="289"/>
      <c r="J125" s="288">
        <v>1536.397</v>
      </c>
      <c r="K125" s="288">
        <v>926.046</v>
      </c>
      <c r="L125" s="288">
        <v>232.907</v>
      </c>
      <c r="M125" s="289">
        <v>158.469</v>
      </c>
      <c r="N125" s="289">
        <v>315.48</v>
      </c>
      <c r="O125" s="288">
        <v>280.525</v>
      </c>
      <c r="P125" s="9">
        <f t="shared" si="24"/>
        <v>4658.582</v>
      </c>
    </row>
    <row r="126" spans="1:16" ht="19.5" customHeight="1">
      <c r="A126" s="50"/>
      <c r="B126" s="47" t="s">
        <v>20</v>
      </c>
      <c r="C126" s="54" t="s">
        <v>16</v>
      </c>
      <c r="D126" s="284"/>
      <c r="E126" s="284"/>
      <c r="F126" s="296"/>
      <c r="G126" s="284"/>
      <c r="H126" s="286">
        <v>1.431</v>
      </c>
      <c r="I126" s="285"/>
      <c r="J126" s="284">
        <v>0.996</v>
      </c>
      <c r="K126" s="284"/>
      <c r="L126" s="284"/>
      <c r="M126" s="285"/>
      <c r="N126" s="285"/>
      <c r="O126" s="284"/>
      <c r="P126" s="8">
        <f t="shared" si="24"/>
        <v>2.427</v>
      </c>
    </row>
    <row r="127" spans="1:16" ht="19.5" customHeight="1">
      <c r="A127" s="50"/>
      <c r="B127" s="48" t="s">
        <v>73</v>
      </c>
      <c r="C127" s="48" t="s">
        <v>18</v>
      </c>
      <c r="D127" s="288"/>
      <c r="E127" s="288"/>
      <c r="F127" s="300"/>
      <c r="G127" s="288"/>
      <c r="H127" s="290">
        <v>231.541</v>
      </c>
      <c r="I127" s="289"/>
      <c r="J127" s="288">
        <v>112.136</v>
      </c>
      <c r="K127" s="288"/>
      <c r="L127" s="288"/>
      <c r="M127" s="289"/>
      <c r="N127" s="289"/>
      <c r="O127" s="288"/>
      <c r="P127" s="9">
        <f t="shared" si="24"/>
        <v>343.677</v>
      </c>
    </row>
    <row r="128" spans="1:16" ht="19.5" customHeight="1">
      <c r="A128" s="50"/>
      <c r="B128" s="380" t="s">
        <v>107</v>
      </c>
      <c r="C128" s="54" t="s">
        <v>16</v>
      </c>
      <c r="D128" s="26">
        <f aca="true" t="shared" si="25" ref="D128:K128">+D106+D108+D110+D112+D114+D116+D118+D120+D122+D124+D126</f>
        <v>73.99709999999999</v>
      </c>
      <c r="E128" s="26">
        <f t="shared" si="25"/>
        <v>49.6423</v>
      </c>
      <c r="F128" s="26">
        <f t="shared" si="25"/>
        <v>1999.4001999999998</v>
      </c>
      <c r="G128" s="26">
        <f t="shared" si="25"/>
        <v>3004.1796999999997</v>
      </c>
      <c r="H128" s="26">
        <f t="shared" si="25"/>
        <v>213.2427</v>
      </c>
      <c r="I128" s="28">
        <f t="shared" si="25"/>
        <v>67.8618</v>
      </c>
      <c r="J128" s="26">
        <f t="shared" si="25"/>
        <v>66.23299999999999</v>
      </c>
      <c r="K128" s="26">
        <f t="shared" si="25"/>
        <v>43.74230000000001</v>
      </c>
      <c r="L128" s="83">
        <f>+L106+L108+L110+L112+L114+L116+L118+L120+L122+L124+L126</f>
        <v>28.812500000000004</v>
      </c>
      <c r="M128" s="83">
        <f aca="true" t="shared" si="26" ref="M128:O129">+M106+M108+M110+M112+M114+M116+M118+M120+M122+M124+M126</f>
        <v>136.96869999999998</v>
      </c>
      <c r="N128" s="83">
        <f t="shared" si="26"/>
        <v>253.5249</v>
      </c>
      <c r="O128" s="28">
        <f t="shared" si="26"/>
        <v>145.081</v>
      </c>
      <c r="P128" s="8">
        <f>SUM(D128:O128)</f>
        <v>6082.686199999999</v>
      </c>
    </row>
    <row r="129" spans="1:16" ht="19.5" customHeight="1">
      <c r="A129" s="49"/>
      <c r="B129" s="381"/>
      <c r="C129" s="48" t="s">
        <v>18</v>
      </c>
      <c r="D129" s="25">
        <f aca="true" t="shared" si="27" ref="D129:K129">+D107+D109+D111+D113+D115+D117+D119+D121+D123+D125+D127</f>
        <v>19798.619</v>
      </c>
      <c r="E129" s="25">
        <f t="shared" si="27"/>
        <v>4219.595</v>
      </c>
      <c r="F129" s="25">
        <f t="shared" si="27"/>
        <v>85405.125</v>
      </c>
      <c r="G129" s="25">
        <f t="shared" si="27"/>
        <v>171814.812</v>
      </c>
      <c r="H129" s="25">
        <f t="shared" si="27"/>
        <v>27209.942000000003</v>
      </c>
      <c r="I129" s="86">
        <f t="shared" si="27"/>
        <v>11041.559000000001</v>
      </c>
      <c r="J129" s="25">
        <f t="shared" si="27"/>
        <v>23484.017000000007</v>
      </c>
      <c r="K129" s="25">
        <f t="shared" si="27"/>
        <v>14999.464000000004</v>
      </c>
      <c r="L129" s="86">
        <f>+L107+L109+L111+L113+L115+L117+L119+L121+L123+L125+L127</f>
        <v>7441.388</v>
      </c>
      <c r="M129" s="86">
        <f t="shared" si="26"/>
        <v>29504.609000000008</v>
      </c>
      <c r="N129" s="86">
        <f t="shared" si="26"/>
        <v>52306.10400000001</v>
      </c>
      <c r="O129" s="86">
        <f t="shared" si="26"/>
        <v>46428.479999999996</v>
      </c>
      <c r="P129" s="9">
        <f>SUM(D129:O129)</f>
        <v>493653.7139999999</v>
      </c>
    </row>
    <row r="130" spans="1:16" ht="19.5" customHeight="1">
      <c r="A130" s="44" t="s">
        <v>0</v>
      </c>
      <c r="B130" s="382" t="s">
        <v>74</v>
      </c>
      <c r="C130" s="54" t="s">
        <v>16</v>
      </c>
      <c r="D130" s="284"/>
      <c r="E130" s="284"/>
      <c r="F130" s="296"/>
      <c r="G130" s="284"/>
      <c r="H130" s="286"/>
      <c r="I130" s="285"/>
      <c r="J130" s="284"/>
      <c r="K130" s="284"/>
      <c r="L130" s="284"/>
      <c r="M130" s="285"/>
      <c r="N130" s="285"/>
      <c r="O130" s="284"/>
      <c r="P130" s="8"/>
    </row>
    <row r="131" spans="1:16" ht="19.5" customHeight="1">
      <c r="A131" s="44" t="s">
        <v>0</v>
      </c>
      <c r="B131" s="383"/>
      <c r="C131" s="48" t="s">
        <v>18</v>
      </c>
      <c r="D131" s="288"/>
      <c r="E131" s="288"/>
      <c r="F131" s="300"/>
      <c r="G131" s="288"/>
      <c r="H131" s="290"/>
      <c r="I131" s="289"/>
      <c r="J131" s="288"/>
      <c r="K131" s="288"/>
      <c r="L131" s="288"/>
      <c r="M131" s="289"/>
      <c r="N131" s="289"/>
      <c r="O131" s="288"/>
      <c r="P131" s="9"/>
    </row>
    <row r="132" spans="1:16" ht="19.5" customHeight="1">
      <c r="A132" s="44" t="s">
        <v>75</v>
      </c>
      <c r="B132" s="382" t="s">
        <v>76</v>
      </c>
      <c r="C132" s="54" t="s">
        <v>16</v>
      </c>
      <c r="D132" s="284"/>
      <c r="E132" s="284"/>
      <c r="F132" s="296"/>
      <c r="G132" s="284"/>
      <c r="H132" s="286"/>
      <c r="I132" s="285"/>
      <c r="J132" s="284"/>
      <c r="K132" s="284"/>
      <c r="L132" s="284"/>
      <c r="M132" s="285"/>
      <c r="N132" s="285"/>
      <c r="O132" s="284"/>
      <c r="P132" s="8"/>
    </row>
    <row r="133" spans="1:16" ht="19.5" customHeight="1">
      <c r="A133" s="50"/>
      <c r="B133" s="383"/>
      <c r="C133" s="48" t="s">
        <v>18</v>
      </c>
      <c r="D133" s="288"/>
      <c r="E133" s="288"/>
      <c r="F133" s="300"/>
      <c r="G133" s="288"/>
      <c r="H133" s="290"/>
      <c r="I133" s="289"/>
      <c r="J133" s="288"/>
      <c r="K133" s="288"/>
      <c r="L133" s="288"/>
      <c r="M133" s="289"/>
      <c r="N133" s="289"/>
      <c r="O133" s="288"/>
      <c r="P133" s="9"/>
    </row>
    <row r="134" spans="1:16" ht="19.5" customHeight="1">
      <c r="A134" s="44" t="s">
        <v>77</v>
      </c>
      <c r="B134" s="47" t="s">
        <v>20</v>
      </c>
      <c r="C134" s="54" t="s">
        <v>16</v>
      </c>
      <c r="D134" s="319">
        <v>0.0566</v>
      </c>
      <c r="E134" s="319">
        <v>0.0164</v>
      </c>
      <c r="F134" s="337"/>
      <c r="G134" s="319"/>
      <c r="H134" s="322"/>
      <c r="I134" s="320"/>
      <c r="J134" s="319"/>
      <c r="K134" s="319"/>
      <c r="L134" s="319"/>
      <c r="M134" s="320"/>
      <c r="N134" s="320"/>
      <c r="O134" s="319"/>
      <c r="P134" s="194">
        <f t="shared" si="24"/>
        <v>0.073</v>
      </c>
    </row>
    <row r="135" spans="1:16" ht="19.5" customHeight="1">
      <c r="A135" s="50"/>
      <c r="B135" s="47" t="s">
        <v>78</v>
      </c>
      <c r="C135" s="54" t="s">
        <v>79</v>
      </c>
      <c r="D135" s="284"/>
      <c r="E135" s="284"/>
      <c r="F135" s="296"/>
      <c r="G135" s="284"/>
      <c r="H135" s="286"/>
      <c r="I135" s="285"/>
      <c r="J135" s="284"/>
      <c r="K135" s="284"/>
      <c r="L135" s="284"/>
      <c r="M135" s="285"/>
      <c r="N135" s="285"/>
      <c r="O135" s="284"/>
      <c r="P135" s="8"/>
    </row>
    <row r="136" spans="1:16" ht="19.5" customHeight="1">
      <c r="A136" s="44" t="s">
        <v>23</v>
      </c>
      <c r="B136" s="2"/>
      <c r="C136" s="48" t="s">
        <v>18</v>
      </c>
      <c r="D136" s="302">
        <v>68.135</v>
      </c>
      <c r="E136" s="302">
        <v>16.173</v>
      </c>
      <c r="F136" s="338"/>
      <c r="G136" s="288"/>
      <c r="H136" s="290"/>
      <c r="I136" s="301"/>
      <c r="J136" s="302"/>
      <c r="K136" s="302"/>
      <c r="L136" s="302"/>
      <c r="M136" s="301"/>
      <c r="N136" s="301"/>
      <c r="O136" s="302"/>
      <c r="P136" s="9">
        <f t="shared" si="24"/>
        <v>84.308</v>
      </c>
    </row>
    <row r="137" spans="1:16" ht="19.5" customHeight="1">
      <c r="A137" s="50"/>
      <c r="B137" s="55" t="s">
        <v>0</v>
      </c>
      <c r="C137" s="54" t="s">
        <v>16</v>
      </c>
      <c r="D137" s="26">
        <f>+D130+D132+D134</f>
        <v>0.0566</v>
      </c>
      <c r="E137" s="26">
        <f>+E130+E132+E134</f>
        <v>0.0164</v>
      </c>
      <c r="F137" s="20"/>
      <c r="G137" s="184"/>
      <c r="H137" s="184"/>
      <c r="I137" s="26"/>
      <c r="J137" s="184"/>
      <c r="K137" s="184"/>
      <c r="L137" s="28"/>
      <c r="M137" s="28"/>
      <c r="N137" s="28"/>
      <c r="O137" s="28"/>
      <c r="P137" s="194">
        <f aca="true" t="shared" si="28" ref="P137:P142">SUM(D137:O137)</f>
        <v>0.073</v>
      </c>
    </row>
    <row r="138" spans="1:16" ht="19.5" customHeight="1">
      <c r="A138" s="50"/>
      <c r="B138" s="56" t="s">
        <v>107</v>
      </c>
      <c r="C138" s="54" t="s">
        <v>79</v>
      </c>
      <c r="D138" s="26"/>
      <c r="E138" s="26"/>
      <c r="F138" s="26"/>
      <c r="G138" s="26"/>
      <c r="H138" s="26"/>
      <c r="I138" s="28"/>
      <c r="J138" s="26"/>
      <c r="K138" s="26"/>
      <c r="L138" s="28"/>
      <c r="M138" s="28"/>
      <c r="N138" s="28"/>
      <c r="O138" s="28"/>
      <c r="P138" s="8"/>
    </row>
    <row r="139" spans="1:16" ht="19.5" customHeight="1">
      <c r="A139" s="49"/>
      <c r="B139" s="2"/>
      <c r="C139" s="48" t="s">
        <v>18</v>
      </c>
      <c r="D139" s="25">
        <f>+D131+D133+D136</f>
        <v>68.135</v>
      </c>
      <c r="E139" s="25">
        <f>+E131+E133+E136</f>
        <v>16.173</v>
      </c>
      <c r="F139" s="25"/>
      <c r="G139" s="25"/>
      <c r="H139" s="25"/>
      <c r="I139" s="86"/>
      <c r="J139" s="97"/>
      <c r="K139" s="18"/>
      <c r="L139" s="86"/>
      <c r="M139" s="86"/>
      <c r="N139" s="86"/>
      <c r="O139" s="86"/>
      <c r="P139" s="9">
        <f t="shared" si="28"/>
        <v>84.308</v>
      </c>
    </row>
    <row r="140" spans="1:16" s="60" customFormat="1" ht="19.5" customHeight="1">
      <c r="A140" s="57"/>
      <c r="B140" s="58" t="s">
        <v>0</v>
      </c>
      <c r="C140" s="198" t="s">
        <v>16</v>
      </c>
      <c r="D140" s="339">
        <f aca="true" t="shared" si="29" ref="D140:J140">D137+D128+D104</f>
        <v>2221.9846000000002</v>
      </c>
      <c r="E140" s="339">
        <f t="shared" si="29"/>
        <v>1019.3321000000002</v>
      </c>
      <c r="F140" s="340">
        <f t="shared" si="29"/>
        <v>2553.1578999999997</v>
      </c>
      <c r="G140" s="339">
        <f t="shared" si="29"/>
        <v>3993.2176</v>
      </c>
      <c r="H140" s="341">
        <f t="shared" si="29"/>
        <v>2066.2443</v>
      </c>
      <c r="I140" s="342">
        <f t="shared" si="29"/>
        <v>2909.3126000000007</v>
      </c>
      <c r="J140" s="339">
        <f t="shared" si="29"/>
        <v>5401.9355000000005</v>
      </c>
      <c r="K140" s="339">
        <f>K137+K128+K104</f>
        <v>2467.463900000001</v>
      </c>
      <c r="L140" s="339">
        <f>L137+L128+L104</f>
        <v>5284.920500000001</v>
      </c>
      <c r="M140" s="342">
        <f>M137+M128+M104</f>
        <v>9130.236699999998</v>
      </c>
      <c r="N140" s="342">
        <f>N137+N128+N104</f>
        <v>13697.9628</v>
      </c>
      <c r="O140" s="339">
        <f>O137+O128+O104</f>
        <v>3608.2554</v>
      </c>
      <c r="P140" s="200">
        <f t="shared" si="28"/>
        <v>54354.0239</v>
      </c>
    </row>
    <row r="141" spans="1:16" s="60" customFormat="1" ht="19.5" customHeight="1">
      <c r="A141" s="57"/>
      <c r="B141" s="61" t="s">
        <v>220</v>
      </c>
      <c r="C141" s="62" t="s">
        <v>79</v>
      </c>
      <c r="D141" s="327"/>
      <c r="E141" s="327"/>
      <c r="F141" s="343"/>
      <c r="G141" s="327"/>
      <c r="H141" s="329"/>
      <c r="I141" s="330"/>
      <c r="J141" s="327"/>
      <c r="K141" s="327"/>
      <c r="L141" s="327"/>
      <c r="M141" s="330"/>
      <c r="N141" s="330"/>
      <c r="O141" s="327"/>
      <c r="P141" s="15"/>
    </row>
    <row r="142" spans="1:16" s="60" customFormat="1" ht="19.5" customHeight="1" thickBot="1">
      <c r="A142" s="63"/>
      <c r="B142" s="64"/>
      <c r="C142" s="65" t="s">
        <v>18</v>
      </c>
      <c r="D142" s="344">
        <f aca="true" t="shared" si="30" ref="D142:J142">D139+D129+D105</f>
        <v>251397.25899999996</v>
      </c>
      <c r="E142" s="345">
        <f t="shared" si="30"/>
        <v>85036.48800000001</v>
      </c>
      <c r="F142" s="346">
        <f t="shared" si="30"/>
        <v>143629.854</v>
      </c>
      <c r="G142" s="345">
        <f t="shared" si="30"/>
        <v>425839.811</v>
      </c>
      <c r="H142" s="347">
        <f t="shared" si="30"/>
        <v>568745.251</v>
      </c>
      <c r="I142" s="331">
        <f t="shared" si="30"/>
        <v>1075625.584</v>
      </c>
      <c r="J142" s="344">
        <f t="shared" si="30"/>
        <v>2058893.655</v>
      </c>
      <c r="K142" s="345">
        <f>K139+K129+K105</f>
        <v>640230.6190000001</v>
      </c>
      <c r="L142" s="344">
        <f>L139+L129+L105</f>
        <v>1005177.5759999998</v>
      </c>
      <c r="M142" s="331">
        <f>M139+M129+M105</f>
        <v>1147103.1829999997</v>
      </c>
      <c r="N142" s="334">
        <f>N139+N129+N105</f>
        <v>987676.288</v>
      </c>
      <c r="O142" s="345">
        <f>O139+O129+O105</f>
        <v>357947.93100000004</v>
      </c>
      <c r="P142" s="7">
        <f t="shared" si="28"/>
        <v>8747303.499</v>
      </c>
    </row>
    <row r="143" spans="15:16" ht="18.75">
      <c r="O143" s="66"/>
      <c r="P143" s="67" t="s">
        <v>92</v>
      </c>
    </row>
  </sheetData>
  <sheetProtection/>
  <mergeCells count="52">
    <mergeCell ref="A1:P1"/>
    <mergeCell ref="B5:B6"/>
    <mergeCell ref="B9:B10"/>
    <mergeCell ref="A11:B12"/>
    <mergeCell ref="B13:B14"/>
    <mergeCell ref="B31:B32"/>
    <mergeCell ref="B33:B34"/>
    <mergeCell ref="B15:B16"/>
    <mergeCell ref="B17:B18"/>
    <mergeCell ref="B21:B22"/>
    <mergeCell ref="B23:B24"/>
    <mergeCell ref="B25:B26"/>
    <mergeCell ref="B29:B30"/>
    <mergeCell ref="B37:B38"/>
    <mergeCell ref="A39:B40"/>
    <mergeCell ref="A41:B42"/>
    <mergeCell ref="A43:B44"/>
    <mergeCell ref="A45:B46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B88:B89"/>
    <mergeCell ref="A90:B91"/>
    <mergeCell ref="A92:B93"/>
    <mergeCell ref="A94:B95"/>
    <mergeCell ref="A96:B97"/>
    <mergeCell ref="B130:B131"/>
    <mergeCell ref="A98:B99"/>
    <mergeCell ref="A100:B101"/>
    <mergeCell ref="A102:B103"/>
    <mergeCell ref="A104:B105"/>
    <mergeCell ref="B106:B107"/>
    <mergeCell ref="B108:B109"/>
    <mergeCell ref="B132:B133"/>
    <mergeCell ref="B118:B119"/>
    <mergeCell ref="B120:B121"/>
    <mergeCell ref="B122:B123"/>
    <mergeCell ref="B124:B125"/>
    <mergeCell ref="B110:B111"/>
    <mergeCell ref="B112:B113"/>
    <mergeCell ref="B114:B115"/>
    <mergeCell ref="B116:B117"/>
    <mergeCell ref="B128:B129"/>
  </mergeCells>
  <printOptions/>
  <pageMargins left="0.7" right="0.7" top="0.75" bottom="0.75" header="0.3" footer="0.3"/>
  <pageSetup firstPageNumber="45" useFirstPageNumber="1" fitToHeight="2" fitToWidth="1" horizontalDpi="600" verticalDpi="600" orientation="landscape" paperSize="9" scale="36" r:id="rId1"/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zoomScale="50" zoomScaleNormal="50" zoomScalePageLayoutView="0" workbookViewId="0" topLeftCell="A1">
      <pane xSplit="3" ySplit="4" topLeftCell="D65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2.625" style="70" customWidth="1"/>
    <col min="16" max="16" width="25.625" style="37" customWidth="1"/>
    <col min="17" max="16384" width="9.00390625" style="38" customWidth="1"/>
  </cols>
  <sheetData>
    <row r="1" spans="1:16" ht="30.75" customHeight="1">
      <c r="A1" s="375" t="s">
        <v>104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ht="30.75" customHeight="1">
      <c r="B2" s="36"/>
    </row>
    <row r="3" spans="1:15" ht="19.5" customHeight="1" thickBot="1">
      <c r="A3" s="12" t="s">
        <v>217</v>
      </c>
      <c r="B3" s="39"/>
      <c r="C3" s="12"/>
      <c r="O3" s="64" t="s">
        <v>90</v>
      </c>
    </row>
    <row r="4" spans="1:16" ht="19.5" customHeight="1">
      <c r="A4" s="40"/>
      <c r="B4" s="41"/>
      <c r="C4" s="41"/>
      <c r="D4" s="82" t="s">
        <v>2</v>
      </c>
      <c r="E4" s="82" t="s">
        <v>3</v>
      </c>
      <c r="F4" s="82" t="s">
        <v>4</v>
      </c>
      <c r="G4" s="82" t="s">
        <v>5</v>
      </c>
      <c r="H4" s="82" t="s">
        <v>6</v>
      </c>
      <c r="I4" s="82" t="s">
        <v>7</v>
      </c>
      <c r="J4" s="82" t="s">
        <v>8</v>
      </c>
      <c r="K4" s="82" t="s">
        <v>9</v>
      </c>
      <c r="L4" s="82" t="s">
        <v>10</v>
      </c>
      <c r="M4" s="82" t="s">
        <v>11</v>
      </c>
      <c r="N4" s="82" t="s">
        <v>12</v>
      </c>
      <c r="O4" s="82" t="s">
        <v>13</v>
      </c>
      <c r="P4" s="43" t="s">
        <v>14</v>
      </c>
    </row>
    <row r="5" spans="1:16" ht="19.5" customHeight="1">
      <c r="A5" s="44" t="s">
        <v>0</v>
      </c>
      <c r="B5" s="382" t="s">
        <v>15</v>
      </c>
      <c r="C5" s="54" t="s">
        <v>16</v>
      </c>
      <c r="D5" s="5">
        <v>0.0105</v>
      </c>
      <c r="E5" s="5">
        <v>0.005</v>
      </c>
      <c r="F5" s="5"/>
      <c r="G5" s="5"/>
      <c r="H5" s="5"/>
      <c r="I5" s="5"/>
      <c r="J5" s="5"/>
      <c r="K5" s="5"/>
      <c r="L5" s="5"/>
      <c r="M5" s="5"/>
      <c r="N5" s="5">
        <v>18.1765</v>
      </c>
      <c r="O5" s="5">
        <v>19.4398</v>
      </c>
      <c r="P5" s="8">
        <f aca="true" t="shared" si="0" ref="P5:P36">SUM(D5:O5)</f>
        <v>37.6318</v>
      </c>
    </row>
    <row r="6" spans="1:16" ht="19.5" customHeight="1">
      <c r="A6" s="44" t="s">
        <v>17</v>
      </c>
      <c r="B6" s="383"/>
      <c r="C6" s="48" t="s">
        <v>18</v>
      </c>
      <c r="D6" s="34">
        <v>5.854</v>
      </c>
      <c r="E6" s="34">
        <v>10.395</v>
      </c>
      <c r="F6" s="34"/>
      <c r="G6" s="34"/>
      <c r="H6" s="34"/>
      <c r="I6" s="34"/>
      <c r="J6" s="34"/>
      <c r="K6" s="34"/>
      <c r="L6" s="34"/>
      <c r="M6" s="34"/>
      <c r="N6" s="34">
        <v>372.285</v>
      </c>
      <c r="O6" s="34">
        <v>296.849</v>
      </c>
      <c r="P6" s="9">
        <f t="shared" si="0"/>
        <v>685.383</v>
      </c>
    </row>
    <row r="7" spans="1:16" ht="19.5" customHeight="1">
      <c r="A7" s="44" t="s">
        <v>19</v>
      </c>
      <c r="B7" s="47" t="s">
        <v>20</v>
      </c>
      <c r="C7" s="54" t="s">
        <v>16</v>
      </c>
      <c r="D7" s="5">
        <v>1.16</v>
      </c>
      <c r="E7" s="5"/>
      <c r="F7" s="5"/>
      <c r="G7" s="5"/>
      <c r="H7" s="5"/>
      <c r="I7" s="5"/>
      <c r="J7" s="5"/>
      <c r="K7" s="5"/>
      <c r="L7" s="5">
        <v>0.2035</v>
      </c>
      <c r="M7" s="5">
        <v>0.0275</v>
      </c>
      <c r="N7" s="5">
        <v>0.209</v>
      </c>
      <c r="O7" s="5"/>
      <c r="P7" s="8">
        <f t="shared" si="0"/>
        <v>1.6</v>
      </c>
    </row>
    <row r="8" spans="1:16" ht="19.5" customHeight="1">
      <c r="A8" s="44" t="s">
        <v>21</v>
      </c>
      <c r="B8" s="48" t="s">
        <v>22</v>
      </c>
      <c r="C8" s="48" t="s">
        <v>18</v>
      </c>
      <c r="D8" s="34">
        <v>12.18</v>
      </c>
      <c r="E8" s="34"/>
      <c r="F8" s="34"/>
      <c r="G8" s="34"/>
      <c r="H8" s="34"/>
      <c r="I8" s="34"/>
      <c r="J8" s="34"/>
      <c r="K8" s="34"/>
      <c r="L8" s="34">
        <v>5.142</v>
      </c>
      <c r="M8" s="34">
        <v>0.934</v>
      </c>
      <c r="N8" s="34">
        <v>2.257</v>
      </c>
      <c r="O8" s="34"/>
      <c r="P8" s="9">
        <f t="shared" si="0"/>
        <v>20.513</v>
      </c>
    </row>
    <row r="9" spans="1:16" ht="19.5" customHeight="1">
      <c r="A9" s="44" t="s">
        <v>23</v>
      </c>
      <c r="B9" s="380" t="s">
        <v>114</v>
      </c>
      <c r="C9" s="54" t="s">
        <v>16</v>
      </c>
      <c r="D9" s="5">
        <f>+D5+D7</f>
        <v>1.1704999999999999</v>
      </c>
      <c r="E9" s="5">
        <f aca="true" t="shared" si="1" ref="E9:O9">+E5+E7</f>
        <v>0.005</v>
      </c>
      <c r="F9" s="5"/>
      <c r="G9" s="5"/>
      <c r="H9" s="5"/>
      <c r="I9" s="5"/>
      <c r="J9" s="5"/>
      <c r="K9" s="5"/>
      <c r="L9" s="5">
        <f t="shared" si="1"/>
        <v>0.2035</v>
      </c>
      <c r="M9" s="5">
        <f t="shared" si="1"/>
        <v>0.0275</v>
      </c>
      <c r="N9" s="5">
        <f t="shared" si="1"/>
        <v>18.3855</v>
      </c>
      <c r="O9" s="5">
        <f t="shared" si="1"/>
        <v>19.4398</v>
      </c>
      <c r="P9" s="8">
        <f t="shared" si="0"/>
        <v>39.23180000000001</v>
      </c>
    </row>
    <row r="10" spans="1:16" ht="19.5" customHeight="1">
      <c r="A10" s="49"/>
      <c r="B10" s="381"/>
      <c r="C10" s="48" t="s">
        <v>18</v>
      </c>
      <c r="D10" s="34">
        <f aca="true" t="shared" si="2" ref="D10:O10">+D6+D8</f>
        <v>18.034</v>
      </c>
      <c r="E10" s="34">
        <f t="shared" si="2"/>
        <v>10.395</v>
      </c>
      <c r="F10" s="34"/>
      <c r="G10" s="34"/>
      <c r="H10" s="34"/>
      <c r="I10" s="34"/>
      <c r="J10" s="34"/>
      <c r="K10" s="34"/>
      <c r="L10" s="34">
        <f t="shared" si="2"/>
        <v>5.142</v>
      </c>
      <c r="M10" s="34">
        <f t="shared" si="2"/>
        <v>0.934</v>
      </c>
      <c r="N10" s="34">
        <f t="shared" si="2"/>
        <v>374.54200000000003</v>
      </c>
      <c r="O10" s="34">
        <f t="shared" si="2"/>
        <v>296.849</v>
      </c>
      <c r="P10" s="9">
        <f t="shared" si="0"/>
        <v>705.896</v>
      </c>
    </row>
    <row r="11" spans="1:16" ht="19.5" customHeight="1">
      <c r="A11" s="376" t="s">
        <v>25</v>
      </c>
      <c r="B11" s="377"/>
      <c r="C11" s="54" t="s">
        <v>16</v>
      </c>
      <c r="D11" s="5"/>
      <c r="E11" s="5"/>
      <c r="F11" s="5"/>
      <c r="G11" s="5"/>
      <c r="H11" s="5"/>
      <c r="I11" s="5"/>
      <c r="J11" s="5">
        <v>0.3288</v>
      </c>
      <c r="K11" s="5">
        <v>0.3532</v>
      </c>
      <c r="L11" s="5">
        <v>3.1554</v>
      </c>
      <c r="M11" s="5">
        <v>1.2116</v>
      </c>
      <c r="N11" s="5">
        <v>0.1246</v>
      </c>
      <c r="O11" s="5"/>
      <c r="P11" s="8">
        <f t="shared" si="0"/>
        <v>5.1736</v>
      </c>
    </row>
    <row r="12" spans="1:16" ht="19.5" customHeight="1">
      <c r="A12" s="378"/>
      <c r="B12" s="379"/>
      <c r="C12" s="48" t="s">
        <v>18</v>
      </c>
      <c r="D12" s="34"/>
      <c r="E12" s="34"/>
      <c r="F12" s="34"/>
      <c r="G12" s="34"/>
      <c r="H12" s="34"/>
      <c r="I12" s="34"/>
      <c r="J12" s="34">
        <v>250.404</v>
      </c>
      <c r="K12" s="34">
        <v>209.07</v>
      </c>
      <c r="L12" s="34">
        <v>474.223</v>
      </c>
      <c r="M12" s="34">
        <v>262.705</v>
      </c>
      <c r="N12" s="34">
        <v>97.952</v>
      </c>
      <c r="O12" s="34"/>
      <c r="P12" s="9">
        <f t="shared" si="0"/>
        <v>1294.354</v>
      </c>
    </row>
    <row r="13" spans="1:16" ht="19.5" customHeight="1">
      <c r="A13" s="50"/>
      <c r="B13" s="382" t="s">
        <v>26</v>
      </c>
      <c r="C13" s="54" t="s">
        <v>16</v>
      </c>
      <c r="D13" s="5">
        <v>0.0319</v>
      </c>
      <c r="E13" s="5">
        <v>0.1136</v>
      </c>
      <c r="F13" s="5">
        <v>0.167</v>
      </c>
      <c r="G13" s="5">
        <v>0.1518</v>
      </c>
      <c r="H13" s="5">
        <v>0.1439</v>
      </c>
      <c r="I13" s="5">
        <v>0.2365</v>
      </c>
      <c r="J13" s="5">
        <v>0.1467</v>
      </c>
      <c r="K13" s="5">
        <v>0.1518</v>
      </c>
      <c r="L13" s="5">
        <v>0.1035</v>
      </c>
      <c r="M13" s="5">
        <v>0.0779</v>
      </c>
      <c r="N13" s="5">
        <v>0.1608</v>
      </c>
      <c r="O13" s="5">
        <v>0.1775</v>
      </c>
      <c r="P13" s="8">
        <f t="shared" si="0"/>
        <v>1.6629</v>
      </c>
    </row>
    <row r="14" spans="1:16" ht="19.5" customHeight="1">
      <c r="A14" s="44" t="s">
        <v>0</v>
      </c>
      <c r="B14" s="383"/>
      <c r="C14" s="48" t="s">
        <v>18</v>
      </c>
      <c r="D14" s="34">
        <v>84.756</v>
      </c>
      <c r="E14" s="34">
        <v>347.845</v>
      </c>
      <c r="F14" s="34">
        <v>518.27</v>
      </c>
      <c r="G14" s="34">
        <v>478.568</v>
      </c>
      <c r="H14" s="34">
        <v>451.246</v>
      </c>
      <c r="I14" s="34">
        <v>545.832</v>
      </c>
      <c r="J14" s="34">
        <v>448.718</v>
      </c>
      <c r="K14" s="34">
        <v>554.191</v>
      </c>
      <c r="L14" s="34">
        <v>319.637</v>
      </c>
      <c r="M14" s="34">
        <v>252.99</v>
      </c>
      <c r="N14" s="34">
        <v>544.676</v>
      </c>
      <c r="O14" s="34">
        <v>710.684</v>
      </c>
      <c r="P14" s="9">
        <f t="shared" si="0"/>
        <v>5257.4130000000005</v>
      </c>
    </row>
    <row r="15" spans="1:16" ht="19.5" customHeight="1">
      <c r="A15" s="44" t="s">
        <v>27</v>
      </c>
      <c r="B15" s="382" t="s">
        <v>28</v>
      </c>
      <c r="C15" s="54" t="s">
        <v>16</v>
      </c>
      <c r="D15" s="5"/>
      <c r="E15" s="5"/>
      <c r="F15" s="5"/>
      <c r="G15" s="5"/>
      <c r="H15" s="5">
        <v>0.0036</v>
      </c>
      <c r="I15" s="5">
        <v>0.0143</v>
      </c>
      <c r="J15" s="5">
        <v>0.3027</v>
      </c>
      <c r="K15" s="5">
        <v>0.0422</v>
      </c>
      <c r="L15" s="5">
        <v>0.0406</v>
      </c>
      <c r="M15" s="5">
        <v>0.1508</v>
      </c>
      <c r="N15" s="5"/>
      <c r="O15" s="5">
        <v>0.011</v>
      </c>
      <c r="P15" s="8">
        <f t="shared" si="0"/>
        <v>0.5652</v>
      </c>
    </row>
    <row r="16" spans="1:16" ht="19.5" customHeight="1">
      <c r="A16" s="44" t="s">
        <v>0</v>
      </c>
      <c r="B16" s="383"/>
      <c r="C16" s="48" t="s">
        <v>18</v>
      </c>
      <c r="D16" s="34"/>
      <c r="E16" s="34"/>
      <c r="F16" s="34"/>
      <c r="G16" s="34"/>
      <c r="H16" s="34">
        <v>4.666</v>
      </c>
      <c r="I16" s="34">
        <v>16.994</v>
      </c>
      <c r="J16" s="34">
        <v>346.212</v>
      </c>
      <c r="K16" s="34">
        <v>49.97</v>
      </c>
      <c r="L16" s="34">
        <v>33.604</v>
      </c>
      <c r="M16" s="34">
        <v>268.876</v>
      </c>
      <c r="N16" s="34"/>
      <c r="O16" s="34">
        <v>23.76</v>
      </c>
      <c r="P16" s="9">
        <f t="shared" si="0"/>
        <v>744.0819999999999</v>
      </c>
    </row>
    <row r="17" spans="1:16" ht="19.5" customHeight="1">
      <c r="A17" s="44" t="s">
        <v>29</v>
      </c>
      <c r="B17" s="382" t="s">
        <v>30</v>
      </c>
      <c r="C17" s="54" t="s">
        <v>16</v>
      </c>
      <c r="D17" s="5">
        <v>0.36475</v>
      </c>
      <c r="E17" s="5">
        <v>0.22075</v>
      </c>
      <c r="F17" s="5">
        <v>0.20525</v>
      </c>
      <c r="G17" s="5">
        <v>0.32775</v>
      </c>
      <c r="H17" s="5">
        <v>0.3685</v>
      </c>
      <c r="I17" s="5">
        <v>0.33925</v>
      </c>
      <c r="J17" s="5">
        <v>0.2255</v>
      </c>
      <c r="K17" s="5">
        <v>0.08825</v>
      </c>
      <c r="L17" s="5">
        <v>0.12525</v>
      </c>
      <c r="M17" s="5">
        <v>0.18125</v>
      </c>
      <c r="N17" s="5">
        <v>0.20275</v>
      </c>
      <c r="O17" s="5">
        <v>0.2435</v>
      </c>
      <c r="P17" s="8">
        <f t="shared" si="0"/>
        <v>2.89275</v>
      </c>
    </row>
    <row r="18" spans="1:16" ht="19.5" customHeight="1">
      <c r="A18" s="50"/>
      <c r="B18" s="383"/>
      <c r="C18" s="48" t="s">
        <v>18</v>
      </c>
      <c r="D18" s="34">
        <v>588.306</v>
      </c>
      <c r="E18" s="34">
        <v>318.734</v>
      </c>
      <c r="F18" s="34">
        <v>361.256</v>
      </c>
      <c r="G18" s="34">
        <v>567.733</v>
      </c>
      <c r="H18" s="34">
        <v>618.389</v>
      </c>
      <c r="I18" s="34">
        <v>547.291</v>
      </c>
      <c r="J18" s="34">
        <v>303.13</v>
      </c>
      <c r="K18" s="34">
        <v>130.68</v>
      </c>
      <c r="L18" s="34">
        <v>261.574</v>
      </c>
      <c r="M18" s="34">
        <v>307.527</v>
      </c>
      <c r="N18" s="34">
        <v>359.752</v>
      </c>
      <c r="O18" s="34">
        <v>359.519</v>
      </c>
      <c r="P18" s="9">
        <f t="shared" si="0"/>
        <v>4723.8910000000005</v>
      </c>
    </row>
    <row r="19" spans="1:16" ht="19.5" customHeight="1">
      <c r="A19" s="44" t="s">
        <v>31</v>
      </c>
      <c r="B19" s="47" t="s">
        <v>108</v>
      </c>
      <c r="C19" s="54" t="s">
        <v>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8"/>
    </row>
    <row r="20" spans="1:16" ht="19.5" customHeight="1">
      <c r="A20" s="50"/>
      <c r="B20" s="48" t="s">
        <v>109</v>
      </c>
      <c r="C20" s="48" t="s">
        <v>18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9"/>
    </row>
    <row r="21" spans="1:16" ht="19.5" customHeight="1">
      <c r="A21" s="44" t="s">
        <v>23</v>
      </c>
      <c r="B21" s="382" t="s">
        <v>32</v>
      </c>
      <c r="C21" s="54" t="s">
        <v>16</v>
      </c>
      <c r="D21" s="5"/>
      <c r="E21" s="5">
        <v>0.01125</v>
      </c>
      <c r="F21" s="5">
        <v>0.0405</v>
      </c>
      <c r="G21" s="5"/>
      <c r="H21" s="5"/>
      <c r="I21" s="5"/>
      <c r="J21" s="5"/>
      <c r="K21" s="5"/>
      <c r="L21" s="5"/>
      <c r="M21" s="5"/>
      <c r="N21" s="5"/>
      <c r="O21" s="5"/>
      <c r="P21" s="8">
        <f t="shared" si="0"/>
        <v>0.051750000000000004</v>
      </c>
    </row>
    <row r="22" spans="1:16" ht="19.5" customHeight="1">
      <c r="A22" s="50"/>
      <c r="B22" s="383"/>
      <c r="C22" s="48" t="s">
        <v>18</v>
      </c>
      <c r="D22" s="34"/>
      <c r="E22" s="34">
        <v>10.041</v>
      </c>
      <c r="F22" s="34">
        <v>33.574</v>
      </c>
      <c r="G22" s="34"/>
      <c r="H22" s="34"/>
      <c r="I22" s="34"/>
      <c r="J22" s="34"/>
      <c r="K22" s="34"/>
      <c r="L22" s="34"/>
      <c r="M22" s="34"/>
      <c r="N22" s="34"/>
      <c r="O22" s="34"/>
      <c r="P22" s="9">
        <f t="shared" si="0"/>
        <v>43.614999999999995</v>
      </c>
    </row>
    <row r="23" spans="1:16" ht="19.5" customHeight="1">
      <c r="A23" s="50"/>
      <c r="B23" s="380" t="s">
        <v>114</v>
      </c>
      <c r="C23" s="54" t="s">
        <v>16</v>
      </c>
      <c r="D23" s="5">
        <f>+D13+D15+D17+D19+D21</f>
        <v>0.39665</v>
      </c>
      <c r="E23" s="5">
        <f aca="true" t="shared" si="3" ref="E23:G24">+E13+E15+E17+E19+E21</f>
        <v>0.3456</v>
      </c>
      <c r="F23" s="5">
        <f t="shared" si="3"/>
        <v>0.41274999999999995</v>
      </c>
      <c r="G23" s="5">
        <f t="shared" si="3"/>
        <v>0.47955</v>
      </c>
      <c r="H23" s="5">
        <f aca="true" t="shared" si="4" ref="H23:J24">+H13+H15+H17+H19+H21</f>
        <v>0.516</v>
      </c>
      <c r="I23" s="5">
        <f t="shared" si="4"/>
        <v>0.59005</v>
      </c>
      <c r="J23" s="5">
        <f t="shared" si="4"/>
        <v>0.6749</v>
      </c>
      <c r="K23" s="5">
        <f aca="true" t="shared" si="5" ref="K23:O24">+K13+K15+K17+K19+K21</f>
        <v>0.28225</v>
      </c>
      <c r="L23" s="5">
        <f t="shared" si="5"/>
        <v>0.26935</v>
      </c>
      <c r="M23" s="5">
        <f t="shared" si="5"/>
        <v>0.40995</v>
      </c>
      <c r="N23" s="5">
        <f t="shared" si="5"/>
        <v>0.36355000000000004</v>
      </c>
      <c r="O23" s="5">
        <f t="shared" si="5"/>
        <v>0.432</v>
      </c>
      <c r="P23" s="8">
        <f t="shared" si="0"/>
        <v>5.1726</v>
      </c>
    </row>
    <row r="24" spans="1:16" ht="19.5" customHeight="1">
      <c r="A24" s="49"/>
      <c r="B24" s="381"/>
      <c r="C24" s="48" t="s">
        <v>18</v>
      </c>
      <c r="D24" s="34">
        <f>+D14+D16+D18+D20+D22</f>
        <v>673.062</v>
      </c>
      <c r="E24" s="34">
        <f t="shared" si="3"/>
        <v>676.62</v>
      </c>
      <c r="F24" s="34">
        <f t="shared" si="3"/>
        <v>913.0999999999999</v>
      </c>
      <c r="G24" s="34">
        <f t="shared" si="3"/>
        <v>1046.301</v>
      </c>
      <c r="H24" s="34">
        <f t="shared" si="4"/>
        <v>1074.301</v>
      </c>
      <c r="I24" s="34">
        <f t="shared" si="4"/>
        <v>1110.1170000000002</v>
      </c>
      <c r="J24" s="34">
        <f t="shared" si="4"/>
        <v>1098.06</v>
      </c>
      <c r="K24" s="34">
        <f t="shared" si="5"/>
        <v>734.8410000000001</v>
      </c>
      <c r="L24" s="34">
        <f t="shared" si="5"/>
        <v>614.815</v>
      </c>
      <c r="M24" s="34">
        <f t="shared" si="5"/>
        <v>829.393</v>
      </c>
      <c r="N24" s="34">
        <f t="shared" si="5"/>
        <v>904.4280000000001</v>
      </c>
      <c r="O24" s="34">
        <f t="shared" si="5"/>
        <v>1093.963</v>
      </c>
      <c r="P24" s="9">
        <f t="shared" si="0"/>
        <v>10769.001</v>
      </c>
    </row>
    <row r="25" spans="1:16" ht="19.5" customHeight="1">
      <c r="A25" s="44" t="s">
        <v>0</v>
      </c>
      <c r="B25" s="382" t="s">
        <v>33</v>
      </c>
      <c r="C25" s="54" t="s">
        <v>16</v>
      </c>
      <c r="D25" s="5">
        <v>0.0207</v>
      </c>
      <c r="E25" s="5">
        <v>0.0072</v>
      </c>
      <c r="F25" s="5">
        <v>0.0651</v>
      </c>
      <c r="G25" s="5">
        <v>0.0274</v>
      </c>
      <c r="H25" s="5">
        <v>0.04785</v>
      </c>
      <c r="I25" s="5">
        <v>0.0084</v>
      </c>
      <c r="J25" s="5">
        <v>0.0045</v>
      </c>
      <c r="K25" s="5">
        <v>0.14</v>
      </c>
      <c r="L25" s="5">
        <v>0.113</v>
      </c>
      <c r="M25" s="5">
        <v>0.1</v>
      </c>
      <c r="N25" s="5">
        <v>0.00963</v>
      </c>
      <c r="O25" s="5">
        <v>0.0208</v>
      </c>
      <c r="P25" s="8">
        <f t="shared" si="0"/>
        <v>0.5645800000000001</v>
      </c>
    </row>
    <row r="26" spans="1:16" ht="19.5" customHeight="1">
      <c r="A26" s="44" t="s">
        <v>34</v>
      </c>
      <c r="B26" s="383"/>
      <c r="C26" s="48" t="s">
        <v>18</v>
      </c>
      <c r="D26" s="34">
        <v>40.657</v>
      </c>
      <c r="E26" s="34">
        <v>15.456</v>
      </c>
      <c r="F26" s="34">
        <v>142.033</v>
      </c>
      <c r="G26" s="34">
        <v>59.709</v>
      </c>
      <c r="H26" s="34">
        <v>88.264</v>
      </c>
      <c r="I26" s="34">
        <v>19.505</v>
      </c>
      <c r="J26" s="34">
        <v>9.477</v>
      </c>
      <c r="K26" s="34">
        <v>137.592</v>
      </c>
      <c r="L26" s="34">
        <v>92.621</v>
      </c>
      <c r="M26" s="34">
        <v>55.512</v>
      </c>
      <c r="N26" s="34">
        <v>14.561</v>
      </c>
      <c r="O26" s="34">
        <v>40.846</v>
      </c>
      <c r="P26" s="9">
        <f t="shared" si="0"/>
        <v>716.2330000000001</v>
      </c>
    </row>
    <row r="27" spans="1:16" ht="19.5" customHeight="1">
      <c r="A27" s="44" t="s">
        <v>35</v>
      </c>
      <c r="B27" s="47" t="s">
        <v>20</v>
      </c>
      <c r="C27" s="54" t="s">
        <v>16</v>
      </c>
      <c r="D27" s="5"/>
      <c r="E27" s="5"/>
      <c r="F27" s="5"/>
      <c r="G27" s="5"/>
      <c r="H27" s="5"/>
      <c r="I27" s="5"/>
      <c r="J27" s="5">
        <v>0.265</v>
      </c>
      <c r="K27" s="5">
        <v>0.015</v>
      </c>
      <c r="L27" s="5"/>
      <c r="M27" s="5"/>
      <c r="N27" s="5"/>
      <c r="O27" s="5"/>
      <c r="P27" s="8">
        <f t="shared" si="0"/>
        <v>0.28</v>
      </c>
    </row>
    <row r="28" spans="1:16" ht="19.5" customHeight="1">
      <c r="A28" s="44" t="s">
        <v>36</v>
      </c>
      <c r="B28" s="48" t="s">
        <v>110</v>
      </c>
      <c r="C28" s="48" t="s">
        <v>18</v>
      </c>
      <c r="D28" s="34"/>
      <c r="E28" s="34"/>
      <c r="F28" s="34"/>
      <c r="G28" s="34"/>
      <c r="H28" s="34"/>
      <c r="I28" s="34"/>
      <c r="J28" s="34">
        <v>82.014</v>
      </c>
      <c r="K28" s="34">
        <v>2.43</v>
      </c>
      <c r="L28" s="34"/>
      <c r="M28" s="34"/>
      <c r="N28" s="34"/>
      <c r="O28" s="34"/>
      <c r="P28" s="9">
        <f t="shared" si="0"/>
        <v>84.444</v>
      </c>
    </row>
    <row r="29" spans="1:16" ht="19.5" customHeight="1">
      <c r="A29" s="44" t="s">
        <v>23</v>
      </c>
      <c r="B29" s="380" t="s">
        <v>114</v>
      </c>
      <c r="C29" s="54" t="s">
        <v>16</v>
      </c>
      <c r="D29" s="5">
        <f>+D25+D27</f>
        <v>0.0207</v>
      </c>
      <c r="E29" s="5">
        <f aca="true" t="shared" si="6" ref="E29:H30">+E25+E27</f>
        <v>0.0072</v>
      </c>
      <c r="F29" s="5">
        <f>+F25+F27</f>
        <v>0.0651</v>
      </c>
      <c r="G29" s="5">
        <f t="shared" si="6"/>
        <v>0.0274</v>
      </c>
      <c r="H29" s="5">
        <f t="shared" si="6"/>
        <v>0.04785</v>
      </c>
      <c r="I29" s="5">
        <f aca="true" t="shared" si="7" ref="H29:O30">+I25+I27</f>
        <v>0.0084</v>
      </c>
      <c r="J29" s="5">
        <f>+J25+J27</f>
        <v>0.2695</v>
      </c>
      <c r="K29" s="5">
        <f t="shared" si="7"/>
        <v>0.15500000000000003</v>
      </c>
      <c r="L29" s="5">
        <f t="shared" si="7"/>
        <v>0.113</v>
      </c>
      <c r="M29" s="5">
        <f t="shared" si="7"/>
        <v>0.1</v>
      </c>
      <c r="N29" s="5">
        <f t="shared" si="7"/>
        <v>0.00963</v>
      </c>
      <c r="O29" s="5">
        <f t="shared" si="7"/>
        <v>0.0208</v>
      </c>
      <c r="P29" s="8">
        <f t="shared" si="0"/>
        <v>0.8445800000000001</v>
      </c>
    </row>
    <row r="30" spans="1:16" ht="19.5" customHeight="1">
      <c r="A30" s="49"/>
      <c r="B30" s="381"/>
      <c r="C30" s="48" t="s">
        <v>18</v>
      </c>
      <c r="D30" s="34">
        <f>+D26+D28</f>
        <v>40.657</v>
      </c>
      <c r="E30" s="34">
        <f t="shared" si="6"/>
        <v>15.456</v>
      </c>
      <c r="F30" s="34">
        <f>+F26+F28</f>
        <v>142.033</v>
      </c>
      <c r="G30" s="34">
        <f t="shared" si="6"/>
        <v>59.709</v>
      </c>
      <c r="H30" s="34">
        <f t="shared" si="7"/>
        <v>88.264</v>
      </c>
      <c r="I30" s="34">
        <f t="shared" si="7"/>
        <v>19.505</v>
      </c>
      <c r="J30" s="34">
        <f>+J26+J28</f>
        <v>91.491</v>
      </c>
      <c r="K30" s="34">
        <f t="shared" si="7"/>
        <v>140.02200000000002</v>
      </c>
      <c r="L30" s="34">
        <f t="shared" si="7"/>
        <v>92.621</v>
      </c>
      <c r="M30" s="34">
        <f t="shared" si="7"/>
        <v>55.512</v>
      </c>
      <c r="N30" s="34">
        <f t="shared" si="7"/>
        <v>14.561</v>
      </c>
      <c r="O30" s="34">
        <f t="shared" si="7"/>
        <v>40.846</v>
      </c>
      <c r="P30" s="9">
        <f t="shared" si="0"/>
        <v>800.677</v>
      </c>
    </row>
    <row r="31" spans="1:16" ht="19.5" customHeight="1">
      <c r="A31" s="44" t="s">
        <v>0</v>
      </c>
      <c r="B31" s="382" t="s">
        <v>37</v>
      </c>
      <c r="C31" s="54" t="s">
        <v>16</v>
      </c>
      <c r="D31" s="5">
        <v>397.3243</v>
      </c>
      <c r="E31" s="5">
        <v>55.6984</v>
      </c>
      <c r="F31" s="5">
        <v>1.5104</v>
      </c>
      <c r="G31" s="5">
        <v>2.5427</v>
      </c>
      <c r="H31" s="5">
        <v>2.6514</v>
      </c>
      <c r="I31" s="5">
        <v>0.2232</v>
      </c>
      <c r="J31" s="5">
        <v>0.241</v>
      </c>
      <c r="K31" s="5">
        <v>0.3646</v>
      </c>
      <c r="L31" s="5">
        <v>1.9554</v>
      </c>
      <c r="M31" s="5">
        <v>1.0173</v>
      </c>
      <c r="N31" s="5">
        <v>0.5267</v>
      </c>
      <c r="O31" s="5">
        <v>5.6104</v>
      </c>
      <c r="P31" s="8">
        <f t="shared" si="0"/>
        <v>469.66580000000005</v>
      </c>
    </row>
    <row r="32" spans="1:16" ht="19.5" customHeight="1">
      <c r="A32" s="44" t="s">
        <v>38</v>
      </c>
      <c r="B32" s="383"/>
      <c r="C32" s="48" t="s">
        <v>18</v>
      </c>
      <c r="D32" s="34">
        <v>73212.394</v>
      </c>
      <c r="E32" s="34">
        <v>16796.737</v>
      </c>
      <c r="F32" s="34">
        <v>469.144</v>
      </c>
      <c r="G32" s="34">
        <v>458.638</v>
      </c>
      <c r="H32" s="34">
        <v>333.748</v>
      </c>
      <c r="I32" s="34">
        <v>18.084</v>
      </c>
      <c r="J32" s="34">
        <v>33.955</v>
      </c>
      <c r="K32" s="34">
        <v>93.512</v>
      </c>
      <c r="L32" s="34">
        <v>260.955</v>
      </c>
      <c r="M32" s="34">
        <v>219.785</v>
      </c>
      <c r="N32" s="34">
        <v>121.037</v>
      </c>
      <c r="O32" s="34">
        <v>2248.723</v>
      </c>
      <c r="P32" s="9">
        <f t="shared" si="0"/>
        <v>94266.71200000001</v>
      </c>
    </row>
    <row r="33" spans="1:16" ht="19.5" customHeight="1">
      <c r="A33" s="44" t="s">
        <v>0</v>
      </c>
      <c r="B33" s="382" t="s">
        <v>39</v>
      </c>
      <c r="C33" s="54" t="s">
        <v>16</v>
      </c>
      <c r="D33" s="5">
        <v>10.4035</v>
      </c>
      <c r="E33" s="5">
        <v>0.7472</v>
      </c>
      <c r="F33" s="5">
        <v>0.189</v>
      </c>
      <c r="G33" s="5">
        <v>0.8195</v>
      </c>
      <c r="H33" s="5">
        <v>0.008</v>
      </c>
      <c r="I33" s="5">
        <v>0.394</v>
      </c>
      <c r="J33" s="5"/>
      <c r="K33" s="5">
        <v>0.025</v>
      </c>
      <c r="L33" s="5">
        <v>0.318</v>
      </c>
      <c r="M33" s="5">
        <v>0.0394</v>
      </c>
      <c r="N33" s="5">
        <v>0.2496</v>
      </c>
      <c r="O33" s="5">
        <v>1.2871</v>
      </c>
      <c r="P33" s="8">
        <f t="shared" si="0"/>
        <v>14.480299999999998</v>
      </c>
    </row>
    <row r="34" spans="1:16" ht="19.5" customHeight="1">
      <c r="A34" s="44" t="s">
        <v>40</v>
      </c>
      <c r="B34" s="383"/>
      <c r="C34" s="48" t="s">
        <v>18</v>
      </c>
      <c r="D34" s="34">
        <v>1130.313</v>
      </c>
      <c r="E34" s="34">
        <v>141.192</v>
      </c>
      <c r="F34" s="34">
        <v>34.23</v>
      </c>
      <c r="G34" s="34">
        <v>19.386</v>
      </c>
      <c r="H34" s="34">
        <v>1.836</v>
      </c>
      <c r="I34" s="34">
        <v>13.533</v>
      </c>
      <c r="J34" s="34"/>
      <c r="K34" s="34">
        <v>4.212</v>
      </c>
      <c r="L34" s="34">
        <v>56.03</v>
      </c>
      <c r="M34" s="34">
        <v>11.56</v>
      </c>
      <c r="N34" s="34">
        <v>98.232</v>
      </c>
      <c r="O34" s="34">
        <v>336.382</v>
      </c>
      <c r="P34" s="9">
        <f t="shared" si="0"/>
        <v>1846.906</v>
      </c>
    </row>
    <row r="35" spans="1:16" ht="19.5" customHeight="1">
      <c r="A35" s="50"/>
      <c r="B35" s="47" t="s">
        <v>20</v>
      </c>
      <c r="C35" s="54" t="s">
        <v>16</v>
      </c>
      <c r="D35" s="5"/>
      <c r="E35" s="5">
        <v>0.002</v>
      </c>
      <c r="F35" s="5">
        <v>0.004</v>
      </c>
      <c r="G35" s="5">
        <v>0.0073</v>
      </c>
      <c r="H35" s="5"/>
      <c r="I35" s="5"/>
      <c r="J35" s="5"/>
      <c r="K35" s="5"/>
      <c r="L35" s="5">
        <v>0.001</v>
      </c>
      <c r="M35" s="5"/>
      <c r="N35" s="5"/>
      <c r="O35" s="5">
        <v>0.001</v>
      </c>
      <c r="P35" s="8">
        <f t="shared" si="0"/>
        <v>0.015300000000000001</v>
      </c>
    </row>
    <row r="36" spans="1:16" ht="19.5" customHeight="1">
      <c r="A36" s="44" t="s">
        <v>23</v>
      </c>
      <c r="B36" s="48" t="s">
        <v>111</v>
      </c>
      <c r="C36" s="48" t="s">
        <v>18</v>
      </c>
      <c r="D36" s="34"/>
      <c r="E36" s="34">
        <v>2.835</v>
      </c>
      <c r="F36" s="34">
        <v>8.085</v>
      </c>
      <c r="G36" s="34">
        <v>3.699</v>
      </c>
      <c r="H36" s="34"/>
      <c r="I36" s="34"/>
      <c r="J36" s="34"/>
      <c r="K36" s="34"/>
      <c r="L36" s="34">
        <v>0.648</v>
      </c>
      <c r="M36" s="34"/>
      <c r="N36" s="34"/>
      <c r="O36" s="34">
        <v>3.132</v>
      </c>
      <c r="P36" s="9">
        <f t="shared" si="0"/>
        <v>18.399</v>
      </c>
    </row>
    <row r="37" spans="1:16" ht="19.5" customHeight="1">
      <c r="A37" s="50"/>
      <c r="B37" s="380" t="s">
        <v>107</v>
      </c>
      <c r="C37" s="54" t="s">
        <v>16</v>
      </c>
      <c r="D37" s="5">
        <f>+D31+D33+D35</f>
        <v>407.7278</v>
      </c>
      <c r="E37" s="5">
        <f aca="true" t="shared" si="8" ref="E37:G38">+E31+E33+E35</f>
        <v>56.4476</v>
      </c>
      <c r="F37" s="5">
        <f t="shared" si="8"/>
        <v>1.7034</v>
      </c>
      <c r="G37" s="5">
        <f t="shared" si="8"/>
        <v>3.3695</v>
      </c>
      <c r="H37" s="5">
        <f aca="true" t="shared" si="9" ref="H37:K38">+H31+H33+H35</f>
        <v>2.6594</v>
      </c>
      <c r="I37" s="5">
        <f t="shared" si="9"/>
        <v>0.6172</v>
      </c>
      <c r="J37" s="5">
        <f>+J31+J33+J35</f>
        <v>0.241</v>
      </c>
      <c r="K37" s="5">
        <f t="shared" si="9"/>
        <v>0.3896</v>
      </c>
      <c r="L37" s="5">
        <f aca="true" t="shared" si="10" ref="L37:N38">+L31+L33+L35</f>
        <v>2.2744</v>
      </c>
      <c r="M37" s="5">
        <f t="shared" si="10"/>
        <v>1.0567000000000002</v>
      </c>
      <c r="N37" s="5">
        <f t="shared" si="10"/>
        <v>0.7763</v>
      </c>
      <c r="O37" s="5">
        <f>+O31+O33+O35</f>
        <v>6.8985</v>
      </c>
      <c r="P37" s="8">
        <f aca="true" t="shared" si="11" ref="P37:P68">SUM(D37:O37)</f>
        <v>484.1614</v>
      </c>
    </row>
    <row r="38" spans="1:16" ht="19.5" customHeight="1">
      <c r="A38" s="49"/>
      <c r="B38" s="381"/>
      <c r="C38" s="48" t="s">
        <v>18</v>
      </c>
      <c r="D38" s="34">
        <f>+D32+D34+D36</f>
        <v>74342.707</v>
      </c>
      <c r="E38" s="34">
        <f>+E32+E34+E36</f>
        <v>16940.764</v>
      </c>
      <c r="F38" s="34">
        <f t="shared" si="8"/>
        <v>511.459</v>
      </c>
      <c r="G38" s="34">
        <f t="shared" si="8"/>
        <v>481.723</v>
      </c>
      <c r="H38" s="34">
        <f t="shared" si="9"/>
        <v>335.584</v>
      </c>
      <c r="I38" s="34">
        <f t="shared" si="9"/>
        <v>31.616999999999997</v>
      </c>
      <c r="J38" s="34">
        <f>+J32+J34+J36</f>
        <v>33.955</v>
      </c>
      <c r="K38" s="34">
        <f t="shared" si="9"/>
        <v>97.724</v>
      </c>
      <c r="L38" s="34">
        <f t="shared" si="10"/>
        <v>317.63300000000004</v>
      </c>
      <c r="M38" s="34">
        <f t="shared" si="10"/>
        <v>231.345</v>
      </c>
      <c r="N38" s="34">
        <f t="shared" si="10"/>
        <v>219.269</v>
      </c>
      <c r="O38" s="34">
        <f>+O32+O34+O36</f>
        <v>2588.237</v>
      </c>
      <c r="P38" s="9">
        <f t="shared" si="11"/>
        <v>96132.01699999999</v>
      </c>
    </row>
    <row r="39" spans="1:16" ht="19.5" customHeight="1">
      <c r="A39" s="376" t="s">
        <v>41</v>
      </c>
      <c r="B39" s="377"/>
      <c r="C39" s="54" t="s">
        <v>16</v>
      </c>
      <c r="D39" s="5"/>
      <c r="E39" s="5"/>
      <c r="F39" s="5"/>
      <c r="G39" s="5"/>
      <c r="H39" s="5"/>
      <c r="I39" s="5">
        <v>0.0007</v>
      </c>
      <c r="J39" s="5">
        <v>0.0104</v>
      </c>
      <c r="K39" s="5">
        <v>0.1247</v>
      </c>
      <c r="L39" s="5">
        <v>0.2372</v>
      </c>
      <c r="M39" s="5">
        <v>1.2664</v>
      </c>
      <c r="N39" s="5">
        <v>0.3237</v>
      </c>
      <c r="O39" s="5">
        <v>0.0168</v>
      </c>
      <c r="P39" s="8">
        <f t="shared" si="11"/>
        <v>1.9798999999999998</v>
      </c>
    </row>
    <row r="40" spans="1:16" ht="19.5" customHeight="1">
      <c r="A40" s="378"/>
      <c r="B40" s="379"/>
      <c r="C40" s="48" t="s">
        <v>18</v>
      </c>
      <c r="D40" s="34"/>
      <c r="E40" s="34"/>
      <c r="F40" s="34"/>
      <c r="G40" s="34"/>
      <c r="H40" s="34"/>
      <c r="I40" s="34">
        <v>0.378</v>
      </c>
      <c r="J40" s="34">
        <v>8.419</v>
      </c>
      <c r="K40" s="34">
        <v>78.355</v>
      </c>
      <c r="L40" s="34">
        <v>89.627</v>
      </c>
      <c r="M40" s="34">
        <v>255.433</v>
      </c>
      <c r="N40" s="34">
        <v>52.121</v>
      </c>
      <c r="O40" s="34">
        <v>5.595</v>
      </c>
      <c r="P40" s="9">
        <f t="shared" si="11"/>
        <v>489.928</v>
      </c>
    </row>
    <row r="41" spans="1:16" ht="19.5" customHeight="1">
      <c r="A41" s="376" t="s">
        <v>42</v>
      </c>
      <c r="B41" s="377"/>
      <c r="C41" s="54" t="s">
        <v>16</v>
      </c>
      <c r="D41" s="5">
        <v>0.5866</v>
      </c>
      <c r="E41" s="5">
        <v>0.001</v>
      </c>
      <c r="F41" s="5">
        <v>-0.011</v>
      </c>
      <c r="G41" s="5"/>
      <c r="H41" s="5">
        <v>0.0607</v>
      </c>
      <c r="I41" s="5">
        <v>1.4587</v>
      </c>
      <c r="J41" s="5">
        <v>16.5346</v>
      </c>
      <c r="K41" s="5">
        <v>16.4248</v>
      </c>
      <c r="L41" s="5">
        <v>18.4362</v>
      </c>
      <c r="M41" s="5">
        <v>29.616</v>
      </c>
      <c r="N41" s="5">
        <v>39.8999</v>
      </c>
      <c r="O41" s="5">
        <v>1.2873</v>
      </c>
      <c r="P41" s="8">
        <f t="shared" si="11"/>
        <v>124.29480000000001</v>
      </c>
    </row>
    <row r="42" spans="1:16" ht="19.5" customHeight="1">
      <c r="A42" s="378"/>
      <c r="B42" s="379"/>
      <c r="C42" s="48" t="s">
        <v>18</v>
      </c>
      <c r="D42" s="34">
        <v>56.213</v>
      </c>
      <c r="E42" s="34">
        <v>0.315</v>
      </c>
      <c r="F42" s="34">
        <v>-0.924</v>
      </c>
      <c r="G42" s="34"/>
      <c r="H42" s="34">
        <v>7.758</v>
      </c>
      <c r="I42" s="34">
        <v>257.072</v>
      </c>
      <c r="J42" s="34">
        <v>1412.668</v>
      </c>
      <c r="K42" s="34">
        <v>1671.635</v>
      </c>
      <c r="L42" s="34">
        <v>806.464</v>
      </c>
      <c r="M42" s="34">
        <v>1547.16</v>
      </c>
      <c r="N42" s="34">
        <v>2605.664</v>
      </c>
      <c r="O42" s="34">
        <v>543.053</v>
      </c>
      <c r="P42" s="9">
        <f t="shared" si="11"/>
        <v>8907.078</v>
      </c>
    </row>
    <row r="43" spans="1:16" ht="19.5" customHeight="1">
      <c r="A43" s="376" t="s">
        <v>43</v>
      </c>
      <c r="B43" s="377"/>
      <c r="C43" s="54" t="s">
        <v>16</v>
      </c>
      <c r="D43" s="5"/>
      <c r="E43" s="5"/>
      <c r="F43" s="5"/>
      <c r="G43" s="5"/>
      <c r="H43" s="5">
        <v>0.005</v>
      </c>
      <c r="I43" s="5"/>
      <c r="J43" s="5"/>
      <c r="K43" s="5"/>
      <c r="L43" s="5"/>
      <c r="M43" s="5"/>
      <c r="N43" s="5"/>
      <c r="O43" s="5"/>
      <c r="P43" s="8">
        <f t="shared" si="11"/>
        <v>0.005</v>
      </c>
    </row>
    <row r="44" spans="1:16" ht="19.5" customHeight="1">
      <c r="A44" s="378"/>
      <c r="B44" s="379"/>
      <c r="C44" s="48" t="s">
        <v>18</v>
      </c>
      <c r="D44" s="34"/>
      <c r="E44" s="34"/>
      <c r="F44" s="34"/>
      <c r="G44" s="34"/>
      <c r="H44" s="34">
        <v>0.972</v>
      </c>
      <c r="I44" s="34"/>
      <c r="J44" s="34"/>
      <c r="K44" s="34"/>
      <c r="L44" s="34"/>
      <c r="M44" s="34"/>
      <c r="N44" s="34"/>
      <c r="O44" s="34"/>
      <c r="P44" s="9">
        <f t="shared" si="11"/>
        <v>0.972</v>
      </c>
    </row>
    <row r="45" spans="1:16" ht="19.5" customHeight="1">
      <c r="A45" s="376" t="s">
        <v>44</v>
      </c>
      <c r="B45" s="377"/>
      <c r="C45" s="54" t="s">
        <v>16</v>
      </c>
      <c r="D45" s="5"/>
      <c r="E45" s="5"/>
      <c r="F45" s="5">
        <v>0.0045</v>
      </c>
      <c r="G45" s="5">
        <v>0.0011</v>
      </c>
      <c r="H45" s="5">
        <v>0.0006</v>
      </c>
      <c r="I45" s="5">
        <v>0.0007</v>
      </c>
      <c r="J45" s="5"/>
      <c r="K45" s="5"/>
      <c r="L45" s="5"/>
      <c r="M45" s="5"/>
      <c r="N45" s="5"/>
      <c r="O45" s="5"/>
      <c r="P45" s="8">
        <f t="shared" si="11"/>
        <v>0.0069</v>
      </c>
    </row>
    <row r="46" spans="1:16" ht="19.5" customHeight="1">
      <c r="A46" s="378"/>
      <c r="B46" s="379"/>
      <c r="C46" s="48" t="s">
        <v>18</v>
      </c>
      <c r="D46" s="34"/>
      <c r="E46" s="34"/>
      <c r="F46" s="34">
        <v>19.688</v>
      </c>
      <c r="G46" s="34">
        <v>1.188</v>
      </c>
      <c r="H46" s="34">
        <v>0.324</v>
      </c>
      <c r="I46" s="34">
        <v>0.605</v>
      </c>
      <c r="J46" s="34"/>
      <c r="K46" s="34"/>
      <c r="L46" s="34"/>
      <c r="M46" s="34"/>
      <c r="N46" s="34"/>
      <c r="O46" s="34"/>
      <c r="P46" s="9">
        <f t="shared" si="11"/>
        <v>21.805</v>
      </c>
    </row>
    <row r="47" spans="1:16" ht="19.5" customHeight="1">
      <c r="A47" s="376" t="s">
        <v>45</v>
      </c>
      <c r="B47" s="377"/>
      <c r="C47" s="54" t="s">
        <v>16</v>
      </c>
      <c r="D47" s="5">
        <v>0.001</v>
      </c>
      <c r="E47" s="5"/>
      <c r="F47" s="5">
        <v>0.001</v>
      </c>
      <c r="G47" s="5">
        <v>0.009</v>
      </c>
      <c r="H47" s="5">
        <v>0.0602</v>
      </c>
      <c r="I47" s="5"/>
      <c r="J47" s="5"/>
      <c r="K47" s="5"/>
      <c r="L47" s="5"/>
      <c r="M47" s="5"/>
      <c r="N47" s="5"/>
      <c r="O47" s="5">
        <v>0.001</v>
      </c>
      <c r="P47" s="8">
        <f t="shared" si="11"/>
        <v>0.0722</v>
      </c>
    </row>
    <row r="48" spans="1:16" ht="19.5" customHeight="1">
      <c r="A48" s="378"/>
      <c r="B48" s="379"/>
      <c r="C48" s="48" t="s">
        <v>18</v>
      </c>
      <c r="D48" s="34">
        <v>0.84</v>
      </c>
      <c r="E48" s="34"/>
      <c r="F48" s="34">
        <v>0.63</v>
      </c>
      <c r="G48" s="34">
        <v>3.888</v>
      </c>
      <c r="H48" s="34">
        <v>31.774</v>
      </c>
      <c r="I48" s="34"/>
      <c r="J48" s="34"/>
      <c r="K48" s="34"/>
      <c r="L48" s="34"/>
      <c r="M48" s="34"/>
      <c r="N48" s="34"/>
      <c r="O48" s="34">
        <v>0.432</v>
      </c>
      <c r="P48" s="9">
        <f t="shared" si="11"/>
        <v>37.564</v>
      </c>
    </row>
    <row r="49" spans="1:16" ht="19.5" customHeight="1">
      <c r="A49" s="376" t="s">
        <v>46</v>
      </c>
      <c r="B49" s="377"/>
      <c r="C49" s="54" t="s">
        <v>16</v>
      </c>
      <c r="D49" s="5">
        <v>0.0295</v>
      </c>
      <c r="E49" s="5">
        <v>5.82</v>
      </c>
      <c r="F49" s="5">
        <v>0.002</v>
      </c>
      <c r="G49" s="5"/>
      <c r="H49" s="5"/>
      <c r="I49" s="5">
        <v>0.135</v>
      </c>
      <c r="J49" s="5">
        <v>0.2243</v>
      </c>
      <c r="K49" s="5">
        <v>2.6245</v>
      </c>
      <c r="L49" s="5">
        <v>7.7939</v>
      </c>
      <c r="M49" s="5">
        <v>27.3327</v>
      </c>
      <c r="N49" s="5">
        <v>27.8949</v>
      </c>
      <c r="O49" s="5">
        <v>3.435</v>
      </c>
      <c r="P49" s="8">
        <f t="shared" si="11"/>
        <v>75.2918</v>
      </c>
    </row>
    <row r="50" spans="1:16" ht="19.5" customHeight="1">
      <c r="A50" s="378"/>
      <c r="B50" s="379"/>
      <c r="C50" s="48" t="s">
        <v>18</v>
      </c>
      <c r="D50" s="34">
        <v>6.757</v>
      </c>
      <c r="E50" s="34">
        <v>61.11</v>
      </c>
      <c r="F50" s="34">
        <v>0.483</v>
      </c>
      <c r="G50" s="34"/>
      <c r="H50" s="34"/>
      <c r="I50" s="34">
        <v>43.793</v>
      </c>
      <c r="J50" s="34">
        <v>24.922</v>
      </c>
      <c r="K50" s="34">
        <v>198.987</v>
      </c>
      <c r="L50" s="34">
        <v>681.113</v>
      </c>
      <c r="M50" s="34">
        <v>5241.267</v>
      </c>
      <c r="N50" s="34">
        <v>2600.863</v>
      </c>
      <c r="O50" s="34">
        <v>878.479</v>
      </c>
      <c r="P50" s="9">
        <f t="shared" si="11"/>
        <v>9737.774</v>
      </c>
    </row>
    <row r="51" spans="1:16" ht="19.5" customHeight="1">
      <c r="A51" s="376" t="s">
        <v>47</v>
      </c>
      <c r="B51" s="377"/>
      <c r="C51" s="54" t="s">
        <v>16</v>
      </c>
      <c r="D51" s="5"/>
      <c r="E51" s="5"/>
      <c r="F51" s="5"/>
      <c r="G51" s="5"/>
      <c r="H51" s="5"/>
      <c r="I51" s="5"/>
      <c r="J51" s="5"/>
      <c r="K51" s="5"/>
      <c r="L51" s="5">
        <v>0.225</v>
      </c>
      <c r="M51" s="5">
        <v>0.3665</v>
      </c>
      <c r="N51" s="5">
        <v>0.404</v>
      </c>
      <c r="O51" s="5">
        <v>0.198</v>
      </c>
      <c r="P51" s="8">
        <f t="shared" si="11"/>
        <v>1.1935</v>
      </c>
    </row>
    <row r="52" spans="1:16" ht="19.5" customHeight="1">
      <c r="A52" s="378"/>
      <c r="B52" s="379"/>
      <c r="C52" s="48" t="s">
        <v>18</v>
      </c>
      <c r="D52" s="34"/>
      <c r="E52" s="34"/>
      <c r="F52" s="34"/>
      <c r="G52" s="34"/>
      <c r="H52" s="34"/>
      <c r="I52" s="34"/>
      <c r="J52" s="34"/>
      <c r="K52" s="34"/>
      <c r="L52" s="34">
        <v>120.96</v>
      </c>
      <c r="M52" s="34">
        <v>150.844</v>
      </c>
      <c r="N52" s="34">
        <v>124.935</v>
      </c>
      <c r="O52" s="34">
        <v>70.362</v>
      </c>
      <c r="P52" s="9">
        <f t="shared" si="11"/>
        <v>467.101</v>
      </c>
    </row>
    <row r="53" spans="1:16" ht="19.5" customHeight="1">
      <c r="A53" s="376" t="s">
        <v>48</v>
      </c>
      <c r="B53" s="377"/>
      <c r="C53" s="54" t="s">
        <v>16</v>
      </c>
      <c r="D53" s="5">
        <v>0.437</v>
      </c>
      <c r="E53" s="5">
        <v>0.0583</v>
      </c>
      <c r="F53" s="5">
        <v>0.4683</v>
      </c>
      <c r="G53" s="5">
        <v>31.8296</v>
      </c>
      <c r="H53" s="5">
        <v>122.2496</v>
      </c>
      <c r="I53" s="5">
        <v>271.0549</v>
      </c>
      <c r="J53" s="5">
        <v>472.595</v>
      </c>
      <c r="K53" s="5">
        <v>54.3709</v>
      </c>
      <c r="L53" s="5">
        <v>172.9752</v>
      </c>
      <c r="M53" s="5">
        <v>938.2737</v>
      </c>
      <c r="N53" s="5">
        <v>607.0026</v>
      </c>
      <c r="O53" s="5">
        <v>127.8298</v>
      </c>
      <c r="P53" s="8">
        <f t="shared" si="11"/>
        <v>2799.1449</v>
      </c>
    </row>
    <row r="54" spans="1:16" ht="19.5" customHeight="1">
      <c r="A54" s="378"/>
      <c r="B54" s="379"/>
      <c r="C54" s="48" t="s">
        <v>18</v>
      </c>
      <c r="D54" s="34">
        <v>106.285</v>
      </c>
      <c r="E54" s="34">
        <v>95.269</v>
      </c>
      <c r="F54" s="34">
        <v>491.508</v>
      </c>
      <c r="G54" s="34">
        <v>21448.323</v>
      </c>
      <c r="H54" s="34">
        <v>82687.906</v>
      </c>
      <c r="I54" s="34">
        <v>164057.08</v>
      </c>
      <c r="J54" s="34">
        <v>259761.153</v>
      </c>
      <c r="K54" s="34">
        <v>28268.719</v>
      </c>
      <c r="L54" s="34">
        <v>64465.185</v>
      </c>
      <c r="M54" s="34">
        <v>431505.828</v>
      </c>
      <c r="N54" s="34">
        <v>284533.763</v>
      </c>
      <c r="O54" s="34">
        <v>57335.613</v>
      </c>
      <c r="P54" s="9">
        <f t="shared" si="11"/>
        <v>1394756.632</v>
      </c>
    </row>
    <row r="55" spans="1:16" ht="19.5" customHeight="1">
      <c r="A55" s="44" t="s">
        <v>0</v>
      </c>
      <c r="B55" s="382" t="s">
        <v>132</v>
      </c>
      <c r="C55" s="54" t="s">
        <v>16</v>
      </c>
      <c r="D55" s="5">
        <v>0.0014</v>
      </c>
      <c r="E55" s="5"/>
      <c r="F55" s="5">
        <v>0.0064</v>
      </c>
      <c r="G55" s="5"/>
      <c r="H55" s="5">
        <v>0.0431</v>
      </c>
      <c r="I55" s="5">
        <v>0.0306</v>
      </c>
      <c r="J55" s="5">
        <v>0.0419</v>
      </c>
      <c r="K55" s="5">
        <v>0.0136</v>
      </c>
      <c r="L55" s="5">
        <v>0.0083</v>
      </c>
      <c r="M55" s="5">
        <v>0.0681</v>
      </c>
      <c r="N55" s="5">
        <v>0.1677</v>
      </c>
      <c r="O55" s="5">
        <v>0.0291</v>
      </c>
      <c r="P55" s="8">
        <f t="shared" si="11"/>
        <v>0.4102</v>
      </c>
    </row>
    <row r="56" spans="1:16" ht="19.5" customHeight="1">
      <c r="A56" s="44" t="s">
        <v>38</v>
      </c>
      <c r="B56" s="383"/>
      <c r="C56" s="48" t="s">
        <v>18</v>
      </c>
      <c r="D56" s="34">
        <v>1.617</v>
      </c>
      <c r="E56" s="34"/>
      <c r="F56" s="34">
        <v>8.484</v>
      </c>
      <c r="G56" s="34"/>
      <c r="H56" s="34">
        <v>56.213</v>
      </c>
      <c r="I56" s="34">
        <v>32.902</v>
      </c>
      <c r="J56" s="34">
        <v>45.43</v>
      </c>
      <c r="K56" s="34">
        <v>16.918</v>
      </c>
      <c r="L56" s="34">
        <v>10.141</v>
      </c>
      <c r="M56" s="34">
        <v>77.409</v>
      </c>
      <c r="N56" s="34">
        <v>183.226</v>
      </c>
      <c r="O56" s="34">
        <v>35.925</v>
      </c>
      <c r="P56" s="9">
        <f t="shared" si="11"/>
        <v>468.265</v>
      </c>
    </row>
    <row r="57" spans="1:16" ht="19.5" customHeight="1">
      <c r="A57" s="44" t="s">
        <v>17</v>
      </c>
      <c r="B57" s="47" t="s">
        <v>20</v>
      </c>
      <c r="C57" s="54" t="s">
        <v>16</v>
      </c>
      <c r="D57" s="5">
        <v>0.6923</v>
      </c>
      <c r="E57" s="5">
        <v>0.0221</v>
      </c>
      <c r="F57" s="5">
        <v>-0.0285</v>
      </c>
      <c r="G57" s="5">
        <v>0.0499</v>
      </c>
      <c r="H57" s="5">
        <v>0.002</v>
      </c>
      <c r="I57" s="5">
        <v>0.0145</v>
      </c>
      <c r="J57" s="5">
        <v>0.0386</v>
      </c>
      <c r="K57" s="5">
        <v>0.0491</v>
      </c>
      <c r="L57" s="5">
        <v>0.4087</v>
      </c>
      <c r="M57" s="5">
        <v>0.9217</v>
      </c>
      <c r="N57" s="5">
        <v>0.2988</v>
      </c>
      <c r="O57" s="5">
        <v>1.7204</v>
      </c>
      <c r="P57" s="8">
        <f t="shared" si="11"/>
        <v>4.1895999999999995</v>
      </c>
    </row>
    <row r="58" spans="1:16" ht="19.5" customHeight="1">
      <c r="A58" s="44" t="s">
        <v>23</v>
      </c>
      <c r="B58" s="48" t="s">
        <v>113</v>
      </c>
      <c r="C58" s="48" t="s">
        <v>18</v>
      </c>
      <c r="D58" s="34">
        <v>126.181</v>
      </c>
      <c r="E58" s="34">
        <v>43.88</v>
      </c>
      <c r="F58" s="34">
        <v>40.488</v>
      </c>
      <c r="G58" s="34">
        <v>64.397</v>
      </c>
      <c r="H58" s="34">
        <v>2.592</v>
      </c>
      <c r="I58" s="34">
        <v>10.789</v>
      </c>
      <c r="J58" s="34">
        <v>19.028</v>
      </c>
      <c r="K58" s="34">
        <v>24.003</v>
      </c>
      <c r="L58" s="34">
        <v>76.196</v>
      </c>
      <c r="M58" s="34">
        <v>138.182</v>
      </c>
      <c r="N58" s="34">
        <v>54.111</v>
      </c>
      <c r="O58" s="34">
        <v>546.567</v>
      </c>
      <c r="P58" s="9">
        <f t="shared" si="11"/>
        <v>1146.414</v>
      </c>
    </row>
    <row r="59" spans="1:16" ht="19.5" customHeight="1">
      <c r="A59" s="50"/>
      <c r="B59" s="380" t="s">
        <v>107</v>
      </c>
      <c r="C59" s="54" t="s">
        <v>16</v>
      </c>
      <c r="D59" s="5">
        <f>+D55+D57</f>
        <v>0.6937</v>
      </c>
      <c r="E59" s="5">
        <f aca="true" t="shared" si="12" ref="E59:G60">+E55+E57</f>
        <v>0.0221</v>
      </c>
      <c r="F59" s="5">
        <f t="shared" si="12"/>
        <v>-0.0221</v>
      </c>
      <c r="G59" s="5">
        <f t="shared" si="12"/>
        <v>0.0499</v>
      </c>
      <c r="H59" s="5">
        <f aca="true" t="shared" si="13" ref="H59:O60">+H55+H57</f>
        <v>0.0451</v>
      </c>
      <c r="I59" s="5">
        <f t="shared" si="13"/>
        <v>0.0451</v>
      </c>
      <c r="J59" s="5">
        <f t="shared" si="13"/>
        <v>0.0805</v>
      </c>
      <c r="K59" s="5">
        <f t="shared" si="13"/>
        <v>0.06269999999999999</v>
      </c>
      <c r="L59" s="5">
        <f>+L55+L57</f>
        <v>0.417</v>
      </c>
      <c r="M59" s="5">
        <f t="shared" si="13"/>
        <v>0.9898</v>
      </c>
      <c r="N59" s="5">
        <f t="shared" si="13"/>
        <v>0.4665</v>
      </c>
      <c r="O59" s="5">
        <f t="shared" si="13"/>
        <v>1.7494999999999998</v>
      </c>
      <c r="P59" s="8">
        <f t="shared" si="11"/>
        <v>4.5998</v>
      </c>
    </row>
    <row r="60" spans="1:16" ht="19.5" customHeight="1">
      <c r="A60" s="49"/>
      <c r="B60" s="381"/>
      <c r="C60" s="48" t="s">
        <v>18</v>
      </c>
      <c r="D60" s="34">
        <f>+D56+D58</f>
        <v>127.798</v>
      </c>
      <c r="E60" s="34">
        <f t="shared" si="12"/>
        <v>43.88</v>
      </c>
      <c r="F60" s="34">
        <f t="shared" si="12"/>
        <v>48.972</v>
      </c>
      <c r="G60" s="34">
        <f t="shared" si="12"/>
        <v>64.397</v>
      </c>
      <c r="H60" s="34">
        <f t="shared" si="13"/>
        <v>58.805</v>
      </c>
      <c r="I60" s="34">
        <f t="shared" si="13"/>
        <v>43.691</v>
      </c>
      <c r="J60" s="34">
        <f t="shared" si="13"/>
        <v>64.458</v>
      </c>
      <c r="K60" s="34">
        <f t="shared" si="13"/>
        <v>40.921</v>
      </c>
      <c r="L60" s="34">
        <f>+L56+L58</f>
        <v>86.337</v>
      </c>
      <c r="M60" s="34">
        <f t="shared" si="13"/>
        <v>215.591</v>
      </c>
      <c r="N60" s="34">
        <f t="shared" si="13"/>
        <v>237.337</v>
      </c>
      <c r="O60" s="34">
        <f t="shared" si="13"/>
        <v>582.492</v>
      </c>
      <c r="P60" s="9">
        <f t="shared" si="11"/>
        <v>1614.6789999999999</v>
      </c>
    </row>
    <row r="61" spans="1:16" ht="19.5" customHeight="1">
      <c r="A61" s="44" t="s">
        <v>0</v>
      </c>
      <c r="B61" s="382" t="s">
        <v>115</v>
      </c>
      <c r="C61" s="54" t="s">
        <v>16</v>
      </c>
      <c r="D61" s="5">
        <v>9.1115</v>
      </c>
      <c r="E61" s="5">
        <v>0.355</v>
      </c>
      <c r="F61" s="5">
        <v>0.014</v>
      </c>
      <c r="G61" s="5">
        <v>0.1025</v>
      </c>
      <c r="H61" s="5">
        <v>0.016</v>
      </c>
      <c r="I61" s="5">
        <v>0.002</v>
      </c>
      <c r="J61" s="5">
        <v>0.001</v>
      </c>
      <c r="K61" s="5">
        <v>0.001</v>
      </c>
      <c r="L61" s="5">
        <v>2.2155</v>
      </c>
      <c r="M61" s="5">
        <v>1.7992</v>
      </c>
      <c r="N61" s="5">
        <v>2.3353</v>
      </c>
      <c r="O61" s="5">
        <v>0.617</v>
      </c>
      <c r="P61" s="8">
        <f t="shared" si="11"/>
        <v>16.57</v>
      </c>
    </row>
    <row r="62" spans="1:16" ht="19.5" customHeight="1">
      <c r="A62" s="44" t="s">
        <v>49</v>
      </c>
      <c r="B62" s="383"/>
      <c r="C62" s="48" t="s">
        <v>18</v>
      </c>
      <c r="D62" s="34">
        <v>128.16</v>
      </c>
      <c r="E62" s="34">
        <v>15.187</v>
      </c>
      <c r="F62" s="34">
        <v>2.52</v>
      </c>
      <c r="G62" s="34">
        <v>8.467</v>
      </c>
      <c r="H62" s="34">
        <v>1.393</v>
      </c>
      <c r="I62" s="34">
        <v>0.378</v>
      </c>
      <c r="J62" s="34">
        <v>0.108</v>
      </c>
      <c r="K62" s="34">
        <v>0.108</v>
      </c>
      <c r="L62" s="34">
        <v>52.998</v>
      </c>
      <c r="M62" s="34">
        <v>64.131</v>
      </c>
      <c r="N62" s="34">
        <v>49.306</v>
      </c>
      <c r="O62" s="34">
        <v>35.688</v>
      </c>
      <c r="P62" s="9">
        <f t="shared" si="11"/>
        <v>358.444</v>
      </c>
    </row>
    <row r="63" spans="1:16" ht="19.5" customHeight="1">
      <c r="A63" s="44" t="s">
        <v>0</v>
      </c>
      <c r="B63" s="47" t="s">
        <v>50</v>
      </c>
      <c r="C63" s="54" t="s">
        <v>16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8"/>
    </row>
    <row r="64" spans="1:16" ht="19.5" customHeight="1">
      <c r="A64" s="44" t="s">
        <v>51</v>
      </c>
      <c r="B64" s="48" t="s">
        <v>116</v>
      </c>
      <c r="C64" s="48" t="s">
        <v>18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9"/>
    </row>
    <row r="65" spans="1:16" ht="19.5" customHeight="1">
      <c r="A65" s="44" t="s">
        <v>0</v>
      </c>
      <c r="B65" s="382" t="s">
        <v>53</v>
      </c>
      <c r="C65" s="54" t="s">
        <v>16</v>
      </c>
      <c r="D65" s="5">
        <v>0.003</v>
      </c>
      <c r="E65" s="5"/>
      <c r="F65" s="5"/>
      <c r="G65" s="5"/>
      <c r="H65" s="5"/>
      <c r="I65" s="5"/>
      <c r="J65" s="5"/>
      <c r="K65" s="5">
        <v>0.001</v>
      </c>
      <c r="L65" s="5"/>
      <c r="M65" s="5"/>
      <c r="N65" s="5">
        <v>0.07</v>
      </c>
      <c r="O65" s="5">
        <v>0.001</v>
      </c>
      <c r="P65" s="8">
        <f t="shared" si="11"/>
        <v>0.07500000000000001</v>
      </c>
    </row>
    <row r="66" spans="1:16" ht="19.5" customHeight="1">
      <c r="A66" s="44" t="s">
        <v>23</v>
      </c>
      <c r="B66" s="383"/>
      <c r="C66" s="48" t="s">
        <v>18</v>
      </c>
      <c r="D66" s="34">
        <v>2.1</v>
      </c>
      <c r="E66" s="34"/>
      <c r="F66" s="34"/>
      <c r="G66" s="34"/>
      <c r="H66" s="34"/>
      <c r="I66" s="34"/>
      <c r="J66" s="34"/>
      <c r="K66" s="34">
        <v>1.08</v>
      </c>
      <c r="L66" s="34"/>
      <c r="M66" s="34"/>
      <c r="N66" s="34">
        <v>1.134</v>
      </c>
      <c r="O66" s="34">
        <v>1.08</v>
      </c>
      <c r="P66" s="9">
        <f t="shared" si="11"/>
        <v>5.394</v>
      </c>
    </row>
    <row r="67" spans="1:16" ht="19.5" customHeight="1">
      <c r="A67" s="50"/>
      <c r="B67" s="47" t="s">
        <v>20</v>
      </c>
      <c r="C67" s="54" t="s">
        <v>16</v>
      </c>
      <c r="D67" s="5">
        <v>0.066</v>
      </c>
      <c r="E67" s="5">
        <v>0.012</v>
      </c>
      <c r="F67" s="5">
        <v>0.003</v>
      </c>
      <c r="G67" s="5"/>
      <c r="H67" s="5"/>
      <c r="I67" s="5"/>
      <c r="J67" s="5"/>
      <c r="K67" s="5"/>
      <c r="L67" s="5">
        <v>0.003</v>
      </c>
      <c r="M67" s="5">
        <v>0.063</v>
      </c>
      <c r="N67" s="5">
        <v>0.13</v>
      </c>
      <c r="O67" s="5"/>
      <c r="P67" s="8">
        <f t="shared" si="11"/>
        <v>0.277</v>
      </c>
    </row>
    <row r="68" spans="1:16" ht="19.5" customHeight="1" thickBot="1">
      <c r="A68" s="51" t="s">
        <v>0</v>
      </c>
      <c r="B68" s="52" t="s">
        <v>116</v>
      </c>
      <c r="C68" s="52" t="s">
        <v>18</v>
      </c>
      <c r="D68" s="6">
        <v>54.39</v>
      </c>
      <c r="E68" s="6">
        <v>11.13</v>
      </c>
      <c r="F68" s="6">
        <v>7.875</v>
      </c>
      <c r="G68" s="6"/>
      <c r="H68" s="6"/>
      <c r="I68" s="6"/>
      <c r="J68" s="6"/>
      <c r="K68" s="6"/>
      <c r="L68" s="6">
        <v>3.888</v>
      </c>
      <c r="M68" s="6">
        <v>1.949</v>
      </c>
      <c r="N68" s="6">
        <v>2.77</v>
      </c>
      <c r="O68" s="6"/>
      <c r="P68" s="10">
        <f t="shared" si="11"/>
        <v>82.002</v>
      </c>
    </row>
    <row r="69" ht="19.5" customHeight="1">
      <c r="P69" s="11"/>
    </row>
    <row r="70" ht="19.5" customHeight="1">
      <c r="P70" s="11"/>
    </row>
    <row r="71" ht="19.5" customHeight="1">
      <c r="P71" s="11"/>
    </row>
    <row r="72" ht="19.5" customHeight="1">
      <c r="P72" s="11"/>
    </row>
    <row r="73" ht="19.5" customHeight="1">
      <c r="P73" s="11"/>
    </row>
    <row r="74" spans="1:16" ht="19.5" customHeight="1" thickBot="1">
      <c r="A74" s="12" t="s">
        <v>217</v>
      </c>
      <c r="B74" s="39"/>
      <c r="C74" s="12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 t="s">
        <v>146</v>
      </c>
      <c r="P74" s="12"/>
    </row>
    <row r="75" spans="1:16" ht="19.5" customHeight="1">
      <c r="A75" s="49"/>
      <c r="B75" s="53"/>
      <c r="C75" s="53"/>
      <c r="D75" s="82" t="s">
        <v>2</v>
      </c>
      <c r="E75" s="82" t="s">
        <v>3</v>
      </c>
      <c r="F75" s="82" t="s">
        <v>4</v>
      </c>
      <c r="G75" s="82" t="s">
        <v>5</v>
      </c>
      <c r="H75" s="82" t="s">
        <v>6</v>
      </c>
      <c r="I75" s="82" t="s">
        <v>7</v>
      </c>
      <c r="J75" s="82" t="s">
        <v>8</v>
      </c>
      <c r="K75" s="82" t="s">
        <v>9</v>
      </c>
      <c r="L75" s="82" t="s">
        <v>10</v>
      </c>
      <c r="M75" s="82" t="s">
        <v>11</v>
      </c>
      <c r="N75" s="82" t="s">
        <v>12</v>
      </c>
      <c r="O75" s="82" t="s">
        <v>13</v>
      </c>
      <c r="P75" s="43" t="s">
        <v>14</v>
      </c>
    </row>
    <row r="76" spans="1:16" ht="19.5" customHeight="1">
      <c r="A76" s="44" t="s">
        <v>49</v>
      </c>
      <c r="B76" s="380" t="s">
        <v>145</v>
      </c>
      <c r="C76" s="54" t="s">
        <v>16</v>
      </c>
      <c r="D76" s="5">
        <f aca="true" t="shared" si="14" ref="D76:P76">+D61+D63+D65+D67</f>
        <v>9.1805</v>
      </c>
      <c r="E76" s="5">
        <f t="shared" si="14"/>
        <v>0.367</v>
      </c>
      <c r="F76" s="5">
        <f t="shared" si="14"/>
        <v>0.017</v>
      </c>
      <c r="G76" s="5">
        <f t="shared" si="14"/>
        <v>0.1025</v>
      </c>
      <c r="H76" s="5">
        <f t="shared" si="14"/>
        <v>0.016</v>
      </c>
      <c r="I76" s="5">
        <f t="shared" si="14"/>
        <v>0.002</v>
      </c>
      <c r="J76" s="5">
        <f t="shared" si="14"/>
        <v>0.001</v>
      </c>
      <c r="K76" s="5">
        <f t="shared" si="14"/>
        <v>0.002</v>
      </c>
      <c r="L76" s="5">
        <f t="shared" si="14"/>
        <v>2.2185</v>
      </c>
      <c r="M76" s="5">
        <f t="shared" si="14"/>
        <v>1.8621999999999999</v>
      </c>
      <c r="N76" s="5">
        <f t="shared" si="14"/>
        <v>2.5353</v>
      </c>
      <c r="O76" s="5">
        <f t="shared" si="14"/>
        <v>0.618</v>
      </c>
      <c r="P76" s="8">
        <f t="shared" si="14"/>
        <v>16.922</v>
      </c>
    </row>
    <row r="77" spans="1:16" ht="19.5" customHeight="1">
      <c r="A77" s="69" t="s">
        <v>51</v>
      </c>
      <c r="B77" s="381"/>
      <c r="C77" s="48" t="s">
        <v>18</v>
      </c>
      <c r="D77" s="34">
        <f aca="true" t="shared" si="15" ref="D77:P77">+D62+D64+D66+D68</f>
        <v>184.64999999999998</v>
      </c>
      <c r="E77" s="34">
        <f t="shared" si="15"/>
        <v>26.317</v>
      </c>
      <c r="F77" s="34">
        <f t="shared" si="15"/>
        <v>10.395</v>
      </c>
      <c r="G77" s="34">
        <f t="shared" si="15"/>
        <v>8.467</v>
      </c>
      <c r="H77" s="34">
        <f t="shared" si="15"/>
        <v>1.393</v>
      </c>
      <c r="I77" s="34">
        <f t="shared" si="15"/>
        <v>0.378</v>
      </c>
      <c r="J77" s="34">
        <f t="shared" si="15"/>
        <v>0.108</v>
      </c>
      <c r="K77" s="34">
        <f t="shared" si="15"/>
        <v>1.1880000000000002</v>
      </c>
      <c r="L77" s="34">
        <f t="shared" si="15"/>
        <v>56.885999999999996</v>
      </c>
      <c r="M77" s="4">
        <f t="shared" si="15"/>
        <v>66.08</v>
      </c>
      <c r="N77" s="34">
        <f t="shared" si="15"/>
        <v>53.21</v>
      </c>
      <c r="O77" s="34">
        <f t="shared" si="15"/>
        <v>36.768</v>
      </c>
      <c r="P77" s="9">
        <f t="shared" si="15"/>
        <v>445.84000000000003</v>
      </c>
    </row>
    <row r="78" spans="1:16" ht="19.5" customHeight="1">
      <c r="A78" s="44" t="s">
        <v>0</v>
      </c>
      <c r="B78" s="382" t="s">
        <v>54</v>
      </c>
      <c r="C78" s="54" t="s">
        <v>16</v>
      </c>
      <c r="D78" s="5">
        <v>1.0962</v>
      </c>
      <c r="E78" s="5">
        <v>0.3264</v>
      </c>
      <c r="F78" s="5">
        <v>0.0923</v>
      </c>
      <c r="G78" s="5">
        <v>0.2259</v>
      </c>
      <c r="H78" s="5">
        <v>1.2305</v>
      </c>
      <c r="I78" s="5">
        <v>5.1374</v>
      </c>
      <c r="J78" s="5">
        <v>5.9115</v>
      </c>
      <c r="K78" s="5">
        <v>2.6765</v>
      </c>
      <c r="L78" s="5">
        <v>2.948</v>
      </c>
      <c r="M78" s="83">
        <v>3.6303</v>
      </c>
      <c r="N78" s="5">
        <v>3.3</v>
      </c>
      <c r="O78" s="5">
        <v>1.7725</v>
      </c>
      <c r="P78" s="8">
        <f aca="true" t="shared" si="16" ref="P78:P109">SUM(D78:O78)</f>
        <v>28.3475</v>
      </c>
    </row>
    <row r="79" spans="1:16" ht="19.5" customHeight="1">
      <c r="A79" s="44" t="s">
        <v>34</v>
      </c>
      <c r="B79" s="383"/>
      <c r="C79" s="48" t="s">
        <v>18</v>
      </c>
      <c r="D79" s="34">
        <v>1104.834</v>
      </c>
      <c r="E79" s="34">
        <v>503.709</v>
      </c>
      <c r="F79" s="34">
        <v>163.181</v>
      </c>
      <c r="G79" s="34">
        <v>343.892</v>
      </c>
      <c r="H79" s="34">
        <v>1314.413</v>
      </c>
      <c r="I79" s="34">
        <v>2865.054</v>
      </c>
      <c r="J79" s="34">
        <v>4051.512</v>
      </c>
      <c r="K79" s="34">
        <v>3764.999</v>
      </c>
      <c r="L79" s="34">
        <v>4171.854</v>
      </c>
      <c r="M79" s="34">
        <v>5733.163</v>
      </c>
      <c r="N79" s="34">
        <v>4114.789</v>
      </c>
      <c r="O79" s="34">
        <v>2983.992</v>
      </c>
      <c r="P79" s="9">
        <f t="shared" si="16"/>
        <v>31115.392</v>
      </c>
    </row>
    <row r="80" spans="1:16" ht="19.5" customHeight="1">
      <c r="A80" s="44" t="s">
        <v>0</v>
      </c>
      <c r="B80" s="382" t="s">
        <v>55</v>
      </c>
      <c r="C80" s="54" t="s">
        <v>16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8"/>
    </row>
    <row r="81" spans="1:16" ht="19.5" customHeight="1">
      <c r="A81" s="44" t="s">
        <v>0</v>
      </c>
      <c r="B81" s="383"/>
      <c r="C81" s="48" t="s">
        <v>18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9"/>
    </row>
    <row r="82" spans="1:16" ht="19.5" customHeight="1">
      <c r="A82" s="44" t="s">
        <v>56</v>
      </c>
      <c r="B82" s="47" t="s">
        <v>57</v>
      </c>
      <c r="C82" s="54" t="s">
        <v>16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8"/>
    </row>
    <row r="83" spans="1:16" ht="19.5" customHeight="1">
      <c r="A83" s="50"/>
      <c r="B83" s="48" t="s">
        <v>58</v>
      </c>
      <c r="C83" s="48" t="s">
        <v>18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9"/>
    </row>
    <row r="84" spans="1:16" ht="19.5" customHeight="1">
      <c r="A84" s="50"/>
      <c r="B84" s="382" t="s">
        <v>59</v>
      </c>
      <c r="C84" s="54" t="s">
        <v>16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8"/>
    </row>
    <row r="85" spans="1:16" ht="19.5" customHeight="1">
      <c r="A85" s="44" t="s">
        <v>17</v>
      </c>
      <c r="B85" s="383"/>
      <c r="C85" s="48" t="s">
        <v>18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9"/>
    </row>
    <row r="86" spans="1:16" ht="19.5" customHeight="1">
      <c r="A86" s="50"/>
      <c r="B86" s="47" t="s">
        <v>20</v>
      </c>
      <c r="C86" s="54" t="s">
        <v>16</v>
      </c>
      <c r="D86" s="5">
        <v>5.9479</v>
      </c>
      <c r="E86" s="5">
        <v>3.721</v>
      </c>
      <c r="F86" s="5">
        <v>4.5215</v>
      </c>
      <c r="G86" s="5">
        <v>3.1481</v>
      </c>
      <c r="H86" s="5">
        <v>4.7689</v>
      </c>
      <c r="I86" s="5">
        <v>5.204</v>
      </c>
      <c r="J86" s="5">
        <v>3.7946</v>
      </c>
      <c r="K86" s="5">
        <v>2.473</v>
      </c>
      <c r="L86" s="5">
        <v>1.2419</v>
      </c>
      <c r="M86" s="5">
        <v>1.6425</v>
      </c>
      <c r="N86" s="5">
        <v>1.634</v>
      </c>
      <c r="O86" s="5">
        <v>2.5853</v>
      </c>
      <c r="P86" s="8">
        <f t="shared" si="16"/>
        <v>40.6827</v>
      </c>
    </row>
    <row r="87" spans="1:16" ht="19.5" customHeight="1">
      <c r="A87" s="50"/>
      <c r="B87" s="48" t="s">
        <v>60</v>
      </c>
      <c r="C87" s="48" t="s">
        <v>18</v>
      </c>
      <c r="D87" s="34">
        <v>2213.862</v>
      </c>
      <c r="E87" s="34">
        <v>1829.962</v>
      </c>
      <c r="F87" s="34">
        <v>2296.332</v>
      </c>
      <c r="G87" s="34">
        <v>1648.734</v>
      </c>
      <c r="H87" s="34">
        <v>2252.865</v>
      </c>
      <c r="I87" s="34">
        <v>2432.43</v>
      </c>
      <c r="J87" s="34">
        <v>2657.018</v>
      </c>
      <c r="K87" s="34">
        <v>2036.75</v>
      </c>
      <c r="L87" s="34">
        <v>998.222</v>
      </c>
      <c r="M87" s="34">
        <v>1207.922</v>
      </c>
      <c r="N87" s="34">
        <v>1086.358</v>
      </c>
      <c r="O87" s="34">
        <v>1832.617</v>
      </c>
      <c r="P87" s="9">
        <f t="shared" si="16"/>
        <v>22493.072</v>
      </c>
    </row>
    <row r="88" spans="1:16" ht="19.5" customHeight="1">
      <c r="A88" s="44" t="s">
        <v>23</v>
      </c>
      <c r="B88" s="380" t="s">
        <v>114</v>
      </c>
      <c r="C88" s="54" t="s">
        <v>16</v>
      </c>
      <c r="D88" s="5">
        <f>+D78+D80+D82+D84+D86</f>
        <v>7.0441</v>
      </c>
      <c r="E88" s="5">
        <f aca="true" t="shared" si="17" ref="E88:G89">+E78+E80+E82+E84+E86</f>
        <v>4.0474</v>
      </c>
      <c r="F88" s="5">
        <f>+F78+F80+F82+F84+F86</f>
        <v>4.6137999999999995</v>
      </c>
      <c r="G88" s="5">
        <f t="shared" si="17"/>
        <v>3.3739999999999997</v>
      </c>
      <c r="H88" s="5">
        <f aca="true" t="shared" si="18" ref="H88:O89">+H78+H80+H82+H84+H86</f>
        <v>5.9994000000000005</v>
      </c>
      <c r="I88" s="5">
        <f t="shared" si="18"/>
        <v>10.3414</v>
      </c>
      <c r="J88" s="5">
        <f>+J78+J80+J82+J84+J86</f>
        <v>9.7061</v>
      </c>
      <c r="K88" s="5">
        <f t="shared" si="18"/>
        <v>5.1495</v>
      </c>
      <c r="L88" s="5">
        <f t="shared" si="18"/>
        <v>4.1899</v>
      </c>
      <c r="M88" s="5">
        <f t="shared" si="18"/>
        <v>5.2728</v>
      </c>
      <c r="N88" s="5">
        <f t="shared" si="18"/>
        <v>4.933999999999999</v>
      </c>
      <c r="O88" s="5">
        <f t="shared" si="18"/>
        <v>4.3578</v>
      </c>
      <c r="P88" s="8">
        <f t="shared" si="16"/>
        <v>69.0302</v>
      </c>
    </row>
    <row r="89" spans="1:16" ht="19.5" customHeight="1">
      <c r="A89" s="49"/>
      <c r="B89" s="381"/>
      <c r="C89" s="48" t="s">
        <v>18</v>
      </c>
      <c r="D89" s="34">
        <f>+D79+D81+D83+D85+D87</f>
        <v>3318.696</v>
      </c>
      <c r="E89" s="34">
        <f t="shared" si="17"/>
        <v>2333.671</v>
      </c>
      <c r="F89" s="34">
        <f>+F79+F81+F83+F85+F87</f>
        <v>2459.513</v>
      </c>
      <c r="G89" s="34">
        <f t="shared" si="17"/>
        <v>1992.626</v>
      </c>
      <c r="H89" s="34">
        <f t="shared" si="18"/>
        <v>3567.278</v>
      </c>
      <c r="I89" s="34">
        <f t="shared" si="18"/>
        <v>5297.484</v>
      </c>
      <c r="J89" s="34">
        <f>+J79+J81+J83+J85+J87</f>
        <v>6708.530000000001</v>
      </c>
      <c r="K89" s="34">
        <f t="shared" si="18"/>
        <v>5801.749</v>
      </c>
      <c r="L89" s="34">
        <f t="shared" si="18"/>
        <v>5170.076</v>
      </c>
      <c r="M89" s="34">
        <f t="shared" si="18"/>
        <v>6941.084999999999</v>
      </c>
      <c r="N89" s="34">
        <f t="shared" si="18"/>
        <v>5201.147</v>
      </c>
      <c r="O89" s="34">
        <f t="shared" si="18"/>
        <v>4816.609</v>
      </c>
      <c r="P89" s="9">
        <f t="shared" si="16"/>
        <v>53608.46399999999</v>
      </c>
    </row>
    <row r="90" spans="1:16" ht="19.5" customHeight="1">
      <c r="A90" s="376" t="s">
        <v>118</v>
      </c>
      <c r="B90" s="377"/>
      <c r="C90" s="54" t="s">
        <v>16</v>
      </c>
      <c r="D90" s="5">
        <v>2.5434</v>
      </c>
      <c r="E90" s="5">
        <v>3.4358</v>
      </c>
      <c r="F90" s="5">
        <v>2.4704</v>
      </c>
      <c r="G90" s="5">
        <v>0.3615</v>
      </c>
      <c r="H90" s="5">
        <v>0.3296</v>
      </c>
      <c r="I90" s="5">
        <v>3.9528</v>
      </c>
      <c r="J90" s="5">
        <v>11.9645</v>
      </c>
      <c r="K90" s="5">
        <v>7.5486</v>
      </c>
      <c r="L90" s="5">
        <v>7.3517</v>
      </c>
      <c r="M90" s="5">
        <v>3.5574</v>
      </c>
      <c r="N90" s="5">
        <v>5.5772</v>
      </c>
      <c r="O90" s="5">
        <v>6.1177</v>
      </c>
      <c r="P90" s="8">
        <f t="shared" si="16"/>
        <v>55.2106</v>
      </c>
    </row>
    <row r="91" spans="1:16" ht="19.5" customHeight="1">
      <c r="A91" s="378"/>
      <c r="B91" s="379"/>
      <c r="C91" s="48" t="s">
        <v>18</v>
      </c>
      <c r="D91" s="34">
        <v>2309.959</v>
      </c>
      <c r="E91" s="34">
        <v>4649.457</v>
      </c>
      <c r="F91" s="34">
        <v>3337.013</v>
      </c>
      <c r="G91" s="34">
        <v>729.733</v>
      </c>
      <c r="H91" s="34">
        <v>668.935</v>
      </c>
      <c r="I91" s="34">
        <v>4788.122</v>
      </c>
      <c r="J91" s="34">
        <v>11962.177</v>
      </c>
      <c r="K91" s="34">
        <v>8663.182</v>
      </c>
      <c r="L91" s="34">
        <v>6676.676</v>
      </c>
      <c r="M91" s="34">
        <v>4220.257</v>
      </c>
      <c r="N91" s="34">
        <v>4091.655</v>
      </c>
      <c r="O91" s="34">
        <v>6662.968</v>
      </c>
      <c r="P91" s="9">
        <f t="shared" si="16"/>
        <v>58760.134</v>
      </c>
    </row>
    <row r="92" spans="1:16" ht="19.5" customHeight="1">
      <c r="A92" s="376" t="s">
        <v>61</v>
      </c>
      <c r="B92" s="377"/>
      <c r="C92" s="54" t="s">
        <v>16</v>
      </c>
      <c r="D92" s="5">
        <v>0.0012</v>
      </c>
      <c r="E92" s="5">
        <v>0.1</v>
      </c>
      <c r="F92" s="5">
        <v>0.265</v>
      </c>
      <c r="G92" s="5">
        <v>0.585</v>
      </c>
      <c r="H92" s="5">
        <v>6.9795</v>
      </c>
      <c r="I92" s="5">
        <v>4.471</v>
      </c>
      <c r="J92" s="5">
        <v>0.362</v>
      </c>
      <c r="K92" s="5">
        <v>0.1</v>
      </c>
      <c r="L92" s="5">
        <v>0.1</v>
      </c>
      <c r="M92" s="5">
        <v>0.1</v>
      </c>
      <c r="N92" s="5">
        <v>0.2</v>
      </c>
      <c r="O92" s="5">
        <v>0.1</v>
      </c>
      <c r="P92" s="8">
        <f t="shared" si="16"/>
        <v>13.363699999999998</v>
      </c>
    </row>
    <row r="93" spans="1:16" ht="19.5" customHeight="1">
      <c r="A93" s="378"/>
      <c r="B93" s="379"/>
      <c r="C93" s="48" t="s">
        <v>18</v>
      </c>
      <c r="D93" s="34">
        <v>1.89</v>
      </c>
      <c r="E93" s="34">
        <v>31.5</v>
      </c>
      <c r="F93" s="34">
        <v>106.575</v>
      </c>
      <c r="G93" s="34">
        <v>119.34</v>
      </c>
      <c r="H93" s="34">
        <v>654.405</v>
      </c>
      <c r="I93" s="34">
        <v>322.661</v>
      </c>
      <c r="J93" s="34">
        <v>97.459</v>
      </c>
      <c r="K93" s="34">
        <v>32.4</v>
      </c>
      <c r="L93" s="34">
        <v>32.4</v>
      </c>
      <c r="M93" s="34">
        <v>32.4</v>
      </c>
      <c r="N93" s="34">
        <v>64.8</v>
      </c>
      <c r="O93" s="34">
        <v>32.4</v>
      </c>
      <c r="P93" s="9">
        <f t="shared" si="16"/>
        <v>1528.2300000000005</v>
      </c>
    </row>
    <row r="94" spans="1:16" ht="19.5" customHeight="1">
      <c r="A94" s="376" t="s">
        <v>147</v>
      </c>
      <c r="B94" s="377"/>
      <c r="C94" s="54" t="s">
        <v>16</v>
      </c>
      <c r="D94" s="5"/>
      <c r="E94" s="5"/>
      <c r="F94" s="5"/>
      <c r="G94" s="5"/>
      <c r="H94" s="5"/>
      <c r="I94" s="5"/>
      <c r="J94" s="5"/>
      <c r="K94" s="5">
        <v>0.0007</v>
      </c>
      <c r="L94" s="5">
        <v>0.0019</v>
      </c>
      <c r="M94" s="5"/>
      <c r="N94" s="5">
        <v>0.0028</v>
      </c>
      <c r="O94" s="5"/>
      <c r="P94" s="8">
        <f t="shared" si="16"/>
        <v>0.0054</v>
      </c>
    </row>
    <row r="95" spans="1:16" ht="19.5" customHeight="1">
      <c r="A95" s="378"/>
      <c r="B95" s="379"/>
      <c r="C95" s="48" t="s">
        <v>18</v>
      </c>
      <c r="D95" s="34"/>
      <c r="E95" s="34"/>
      <c r="F95" s="34"/>
      <c r="G95" s="34"/>
      <c r="H95" s="34"/>
      <c r="I95" s="34"/>
      <c r="J95" s="34"/>
      <c r="K95" s="34">
        <v>1.966</v>
      </c>
      <c r="L95" s="34">
        <v>3.078</v>
      </c>
      <c r="M95" s="34"/>
      <c r="N95" s="34">
        <v>2.419</v>
      </c>
      <c r="O95" s="34"/>
      <c r="P95" s="9">
        <f t="shared" si="16"/>
        <v>7.462999999999999</v>
      </c>
    </row>
    <row r="96" spans="1:16" ht="19.5" customHeight="1">
      <c r="A96" s="376" t="s">
        <v>120</v>
      </c>
      <c r="B96" s="377"/>
      <c r="C96" s="54" t="s">
        <v>16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>
        <v>0.0018</v>
      </c>
      <c r="P96" s="8">
        <f t="shared" si="16"/>
        <v>0.0018</v>
      </c>
    </row>
    <row r="97" spans="1:16" ht="19.5" customHeight="1">
      <c r="A97" s="378"/>
      <c r="B97" s="379"/>
      <c r="C97" s="48" t="s">
        <v>18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>
        <v>3.596</v>
      </c>
      <c r="P97" s="9">
        <f t="shared" si="16"/>
        <v>3.596</v>
      </c>
    </row>
    <row r="98" spans="1:16" ht="19.5" customHeight="1">
      <c r="A98" s="376" t="s">
        <v>63</v>
      </c>
      <c r="B98" s="377"/>
      <c r="C98" s="54" t="s">
        <v>16</v>
      </c>
      <c r="D98" s="5"/>
      <c r="E98" s="5"/>
      <c r="F98" s="5"/>
      <c r="G98" s="5">
        <v>0.021</v>
      </c>
      <c r="H98" s="5"/>
      <c r="I98" s="5"/>
      <c r="J98" s="5"/>
      <c r="K98" s="5"/>
      <c r="L98" s="5">
        <v>0.007</v>
      </c>
      <c r="M98" s="5"/>
      <c r="N98" s="5"/>
      <c r="O98" s="5">
        <v>0.9584</v>
      </c>
      <c r="P98" s="8">
        <f t="shared" si="16"/>
        <v>0.9864</v>
      </c>
    </row>
    <row r="99" spans="1:16" ht="19.5" customHeight="1">
      <c r="A99" s="378"/>
      <c r="B99" s="379"/>
      <c r="C99" s="48" t="s">
        <v>18</v>
      </c>
      <c r="D99" s="34"/>
      <c r="E99" s="34"/>
      <c r="F99" s="34"/>
      <c r="G99" s="34">
        <v>15.422</v>
      </c>
      <c r="H99" s="34"/>
      <c r="I99" s="34"/>
      <c r="J99" s="34"/>
      <c r="K99" s="34"/>
      <c r="L99" s="34">
        <v>5.519</v>
      </c>
      <c r="M99" s="34"/>
      <c r="N99" s="34"/>
      <c r="O99" s="34">
        <v>590.782</v>
      </c>
      <c r="P99" s="9">
        <f t="shared" si="16"/>
        <v>611.7230000000001</v>
      </c>
    </row>
    <row r="100" spans="1:16" ht="19.5" customHeight="1">
      <c r="A100" s="376" t="s">
        <v>121</v>
      </c>
      <c r="B100" s="377"/>
      <c r="C100" s="54" t="s">
        <v>16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8"/>
    </row>
    <row r="101" spans="1:16" ht="19.5" customHeight="1">
      <c r="A101" s="378"/>
      <c r="B101" s="379"/>
      <c r="C101" s="48" t="s">
        <v>18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9"/>
    </row>
    <row r="102" spans="1:16" ht="19.5" customHeight="1">
      <c r="A102" s="376" t="s">
        <v>64</v>
      </c>
      <c r="B102" s="377"/>
      <c r="C102" s="54" t="s">
        <v>16</v>
      </c>
      <c r="D102" s="5">
        <v>18.1196</v>
      </c>
      <c r="E102" s="5">
        <v>19.582</v>
      </c>
      <c r="F102" s="5">
        <v>59.6193</v>
      </c>
      <c r="G102" s="5">
        <v>193.2822</v>
      </c>
      <c r="H102" s="5">
        <v>194.1029</v>
      </c>
      <c r="I102" s="5">
        <v>17.8894</v>
      </c>
      <c r="J102" s="5">
        <v>62.43649</v>
      </c>
      <c r="K102" s="5">
        <v>9.1514</v>
      </c>
      <c r="L102" s="5">
        <v>12.1821</v>
      </c>
      <c r="M102" s="5">
        <v>6.9918</v>
      </c>
      <c r="N102" s="5">
        <v>4.8229</v>
      </c>
      <c r="O102" s="5">
        <v>5.2066</v>
      </c>
      <c r="P102" s="8">
        <f t="shared" si="16"/>
        <v>603.38669</v>
      </c>
    </row>
    <row r="103" spans="1:16" ht="19.5" customHeight="1">
      <c r="A103" s="378"/>
      <c r="B103" s="379"/>
      <c r="C103" s="48" t="s">
        <v>18</v>
      </c>
      <c r="D103" s="34">
        <v>3263.173</v>
      </c>
      <c r="E103" s="34">
        <v>2292.005</v>
      </c>
      <c r="F103" s="34">
        <v>11767.027</v>
      </c>
      <c r="G103" s="34">
        <v>26254.019</v>
      </c>
      <c r="H103" s="34">
        <v>13782.762</v>
      </c>
      <c r="I103" s="34">
        <v>5539.901</v>
      </c>
      <c r="J103" s="34">
        <v>5308.326</v>
      </c>
      <c r="K103" s="34">
        <v>2672.725</v>
      </c>
      <c r="L103" s="34">
        <v>2846.358</v>
      </c>
      <c r="M103" s="34">
        <v>3693.882</v>
      </c>
      <c r="N103" s="34">
        <v>2887.347</v>
      </c>
      <c r="O103" s="34">
        <v>3278.742</v>
      </c>
      <c r="P103" s="9">
        <f t="shared" si="16"/>
        <v>83586.26699999999</v>
      </c>
    </row>
    <row r="104" spans="1:16" ht="19.5" customHeight="1">
      <c r="A104" s="384" t="s">
        <v>65</v>
      </c>
      <c r="B104" s="385"/>
      <c r="C104" s="54" t="s">
        <v>16</v>
      </c>
      <c r="D104" s="5">
        <f aca="true" t="shared" si="19" ref="D104:O104">+D9+D11+D23+D29+D37+D39+D41+D43+D45+D47+D49+D51+D53+D59+D76+D88+D90+D92+D94+D96+D98+D100+D102</f>
        <v>447.95224999999994</v>
      </c>
      <c r="E104" s="5">
        <f t="shared" si="19"/>
        <v>90.239</v>
      </c>
      <c r="F104" s="5">
        <f t="shared" si="19"/>
        <v>69.60945000000001</v>
      </c>
      <c r="G104" s="5">
        <f t="shared" si="19"/>
        <v>233.49224999999998</v>
      </c>
      <c r="H104" s="5">
        <f t="shared" si="19"/>
        <v>333.07185000000004</v>
      </c>
      <c r="I104" s="5">
        <f t="shared" si="19"/>
        <v>310.56735000000003</v>
      </c>
      <c r="J104" s="5">
        <f t="shared" si="19"/>
        <v>575.42909</v>
      </c>
      <c r="K104" s="5">
        <f t="shared" si="19"/>
        <v>96.73984999999999</v>
      </c>
      <c r="L104" s="5">
        <f t="shared" si="19"/>
        <v>232.15125</v>
      </c>
      <c r="M104" s="5">
        <f t="shared" si="19"/>
        <v>1018.4350499999999</v>
      </c>
      <c r="N104" s="5">
        <f t="shared" si="19"/>
        <v>713.72338</v>
      </c>
      <c r="O104" s="5">
        <f t="shared" si="19"/>
        <v>178.66880000000003</v>
      </c>
      <c r="P104" s="8">
        <f t="shared" si="16"/>
        <v>4300.079570000001</v>
      </c>
    </row>
    <row r="105" spans="1:16" ht="19.5" customHeight="1">
      <c r="A105" s="386"/>
      <c r="B105" s="387"/>
      <c r="C105" s="48" t="s">
        <v>18</v>
      </c>
      <c r="D105" s="34">
        <f aca="true" t="shared" si="20" ref="D105:O105">+D10+D12+D24+D30+D38+D40+D42+D44+D46+D48+D50+D52+D54+D60+D77+D89+D91+D93+D95+D97+D99+D101+D103</f>
        <v>84450.72099999998</v>
      </c>
      <c r="E105" s="34">
        <f t="shared" si="20"/>
        <v>27176.759000000002</v>
      </c>
      <c r="F105" s="34">
        <f t="shared" si="20"/>
        <v>19807.472</v>
      </c>
      <c r="G105" s="34">
        <f t="shared" si="20"/>
        <v>52225.136</v>
      </c>
      <c r="H105" s="34">
        <f t="shared" si="20"/>
        <v>102960.461</v>
      </c>
      <c r="I105" s="34">
        <f t="shared" si="20"/>
        <v>181512.40399999998</v>
      </c>
      <c r="J105" s="34">
        <f t="shared" si="20"/>
        <v>286822.13</v>
      </c>
      <c r="K105" s="34">
        <f t="shared" si="20"/>
        <v>48613.484</v>
      </c>
      <c r="L105" s="34">
        <f t="shared" si="20"/>
        <v>82545.11299999998</v>
      </c>
      <c r="M105" s="34">
        <f t="shared" si="20"/>
        <v>455249.716</v>
      </c>
      <c r="N105" s="34">
        <f t="shared" si="20"/>
        <v>304066.01300000004</v>
      </c>
      <c r="O105" s="34">
        <f t="shared" si="20"/>
        <v>78857.786</v>
      </c>
      <c r="P105" s="9">
        <f t="shared" si="16"/>
        <v>1724287.1950000003</v>
      </c>
    </row>
    <row r="106" spans="1:16" ht="19.5" customHeight="1">
      <c r="A106" s="44" t="s">
        <v>0</v>
      </c>
      <c r="B106" s="382" t="s">
        <v>134</v>
      </c>
      <c r="C106" s="54" t="s">
        <v>16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8"/>
    </row>
    <row r="107" spans="1:16" ht="19.5" customHeight="1">
      <c r="A107" s="44" t="s">
        <v>0</v>
      </c>
      <c r="B107" s="383"/>
      <c r="C107" s="48" t="s">
        <v>18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9"/>
    </row>
    <row r="108" spans="1:16" ht="19.5" customHeight="1">
      <c r="A108" s="44" t="s">
        <v>66</v>
      </c>
      <c r="B108" s="382" t="s">
        <v>123</v>
      </c>
      <c r="C108" s="54" t="s">
        <v>16</v>
      </c>
      <c r="D108" s="5">
        <v>9.6276</v>
      </c>
      <c r="E108" s="5">
        <v>1.2253</v>
      </c>
      <c r="F108" s="5">
        <v>1.1177</v>
      </c>
      <c r="G108" s="5">
        <v>1.3781</v>
      </c>
      <c r="H108" s="5">
        <v>5.932</v>
      </c>
      <c r="I108" s="5">
        <v>32.9002</v>
      </c>
      <c r="J108" s="5">
        <v>96.4433</v>
      </c>
      <c r="K108" s="5">
        <v>19.8552</v>
      </c>
      <c r="L108" s="5">
        <v>2.0085</v>
      </c>
      <c r="M108" s="5">
        <v>1.1304</v>
      </c>
      <c r="N108" s="5">
        <v>3.0276</v>
      </c>
      <c r="O108" s="5">
        <v>7.1307</v>
      </c>
      <c r="P108" s="8">
        <f t="shared" si="16"/>
        <v>181.77659999999997</v>
      </c>
    </row>
    <row r="109" spans="1:16" ht="19.5" customHeight="1">
      <c r="A109" s="44" t="s">
        <v>0</v>
      </c>
      <c r="B109" s="383"/>
      <c r="C109" s="48" t="s">
        <v>18</v>
      </c>
      <c r="D109" s="34">
        <v>4083.292</v>
      </c>
      <c r="E109" s="34">
        <v>675.5</v>
      </c>
      <c r="F109" s="34">
        <v>970.5</v>
      </c>
      <c r="G109" s="34">
        <v>1137.2</v>
      </c>
      <c r="H109" s="34">
        <v>3759.765</v>
      </c>
      <c r="I109" s="34">
        <v>19000.465</v>
      </c>
      <c r="J109" s="34">
        <v>46776.899</v>
      </c>
      <c r="K109" s="34">
        <v>13632.725</v>
      </c>
      <c r="L109" s="34">
        <v>1762.375</v>
      </c>
      <c r="M109" s="34">
        <v>882.917</v>
      </c>
      <c r="N109" s="34">
        <v>2143.307</v>
      </c>
      <c r="O109" s="34">
        <v>5698.407</v>
      </c>
      <c r="P109" s="9">
        <f t="shared" si="16"/>
        <v>100523.35200000001</v>
      </c>
    </row>
    <row r="110" spans="1:16" ht="19.5" customHeight="1">
      <c r="A110" s="44" t="s">
        <v>0</v>
      </c>
      <c r="B110" s="382" t="s">
        <v>148</v>
      </c>
      <c r="C110" s="54" t="s">
        <v>16</v>
      </c>
      <c r="D110" s="5">
        <v>2.103</v>
      </c>
      <c r="E110" s="5">
        <v>0.0755</v>
      </c>
      <c r="F110" s="5">
        <v>0.002</v>
      </c>
      <c r="G110" s="5">
        <v>0.1706</v>
      </c>
      <c r="H110" s="5">
        <v>0.4593</v>
      </c>
      <c r="I110" s="5">
        <v>0.9583</v>
      </c>
      <c r="J110" s="5">
        <v>2.9824</v>
      </c>
      <c r="K110" s="5">
        <v>0.9381</v>
      </c>
      <c r="L110" s="5">
        <v>0.3616</v>
      </c>
      <c r="M110" s="5">
        <v>0.2679</v>
      </c>
      <c r="N110" s="5">
        <v>4.5464</v>
      </c>
      <c r="O110" s="5">
        <v>2.8406</v>
      </c>
      <c r="P110" s="8">
        <f aca="true" t="shared" si="21" ref="P110:P140">SUM(D110:O110)</f>
        <v>15.7057</v>
      </c>
    </row>
    <row r="111" spans="1:16" ht="19.5" customHeight="1">
      <c r="A111" s="50"/>
      <c r="B111" s="383"/>
      <c r="C111" s="48" t="s">
        <v>18</v>
      </c>
      <c r="D111" s="34">
        <v>729.456</v>
      </c>
      <c r="E111" s="34">
        <v>23.757</v>
      </c>
      <c r="F111" s="34">
        <v>5.25</v>
      </c>
      <c r="G111" s="34">
        <v>165.391</v>
      </c>
      <c r="H111" s="34">
        <v>327.09</v>
      </c>
      <c r="I111" s="34">
        <v>257.191</v>
      </c>
      <c r="J111" s="34">
        <v>736.207</v>
      </c>
      <c r="K111" s="34">
        <v>337.888</v>
      </c>
      <c r="L111" s="34">
        <v>195.367</v>
      </c>
      <c r="M111" s="34">
        <v>144.666</v>
      </c>
      <c r="N111" s="34">
        <v>1349.547</v>
      </c>
      <c r="O111" s="34">
        <v>2379.876</v>
      </c>
      <c r="P111" s="9">
        <f t="shared" si="21"/>
        <v>6651.686000000001</v>
      </c>
    </row>
    <row r="112" spans="1:16" ht="19.5" customHeight="1">
      <c r="A112" s="44" t="s">
        <v>67</v>
      </c>
      <c r="B112" s="382" t="s">
        <v>149</v>
      </c>
      <c r="C112" s="54" t="s">
        <v>16</v>
      </c>
      <c r="D112" s="5">
        <v>0.005</v>
      </c>
      <c r="E112" s="5"/>
      <c r="F112" s="5"/>
      <c r="G112" s="5"/>
      <c r="H112" s="5">
        <v>0.0046</v>
      </c>
      <c r="I112" s="5">
        <v>0.0958</v>
      </c>
      <c r="J112" s="5">
        <v>0.0372</v>
      </c>
      <c r="K112" s="5">
        <v>0.0088</v>
      </c>
      <c r="L112" s="5">
        <v>0.0103</v>
      </c>
      <c r="M112" s="5">
        <v>0.004</v>
      </c>
      <c r="N112" s="5">
        <v>0.0078</v>
      </c>
      <c r="O112" s="5">
        <v>0.0099</v>
      </c>
      <c r="P112" s="8">
        <f t="shared" si="21"/>
        <v>0.1834</v>
      </c>
    </row>
    <row r="113" spans="1:16" ht="19.5" customHeight="1">
      <c r="A113" s="50"/>
      <c r="B113" s="383"/>
      <c r="C113" s="48" t="s">
        <v>18</v>
      </c>
      <c r="D113" s="34">
        <v>3.15</v>
      </c>
      <c r="E113" s="34"/>
      <c r="F113" s="34"/>
      <c r="G113" s="34"/>
      <c r="H113" s="34">
        <v>3.121</v>
      </c>
      <c r="I113" s="34">
        <v>92.728</v>
      </c>
      <c r="J113" s="34">
        <v>38.361</v>
      </c>
      <c r="K113" s="34">
        <v>5.476</v>
      </c>
      <c r="L113" s="34">
        <v>10.692</v>
      </c>
      <c r="M113" s="34">
        <v>1.296</v>
      </c>
      <c r="N113" s="34">
        <v>5.233</v>
      </c>
      <c r="O113" s="34">
        <v>6.296</v>
      </c>
      <c r="P113" s="9">
        <f t="shared" si="21"/>
        <v>166.35299999999998</v>
      </c>
    </row>
    <row r="114" spans="1:16" ht="19.5" customHeight="1">
      <c r="A114" s="50"/>
      <c r="B114" s="382" t="s">
        <v>150</v>
      </c>
      <c r="C114" s="54" t="s">
        <v>16</v>
      </c>
      <c r="D114" s="5">
        <v>0.1506</v>
      </c>
      <c r="E114" s="5">
        <v>0.3</v>
      </c>
      <c r="F114" s="5">
        <v>0.6057</v>
      </c>
      <c r="G114" s="5">
        <v>3.2417</v>
      </c>
      <c r="H114" s="5">
        <v>2.1138</v>
      </c>
      <c r="I114" s="5">
        <v>0.4851</v>
      </c>
      <c r="J114" s="5">
        <v>3.4862</v>
      </c>
      <c r="K114" s="5">
        <v>0.8266</v>
      </c>
      <c r="L114" s="5">
        <v>0.4131</v>
      </c>
      <c r="M114" s="5">
        <v>0.257</v>
      </c>
      <c r="N114" s="5">
        <v>0.257</v>
      </c>
      <c r="O114" s="5">
        <v>0.5161</v>
      </c>
      <c r="P114" s="8">
        <f t="shared" si="21"/>
        <v>12.652899999999997</v>
      </c>
    </row>
    <row r="115" spans="1:16" ht="19.5" customHeight="1">
      <c r="A115" s="50"/>
      <c r="B115" s="383"/>
      <c r="C115" s="48" t="s">
        <v>18</v>
      </c>
      <c r="D115" s="34">
        <v>32.076</v>
      </c>
      <c r="E115" s="34">
        <v>120.407</v>
      </c>
      <c r="F115" s="34">
        <v>360.093</v>
      </c>
      <c r="G115" s="34">
        <v>841.943</v>
      </c>
      <c r="H115" s="34">
        <v>672.672</v>
      </c>
      <c r="I115" s="34">
        <v>292.222</v>
      </c>
      <c r="J115" s="34">
        <v>2516.735</v>
      </c>
      <c r="K115" s="34">
        <v>747.998</v>
      </c>
      <c r="L115" s="34">
        <v>196.737</v>
      </c>
      <c r="M115" s="34">
        <v>129.676</v>
      </c>
      <c r="N115" s="34">
        <v>55.086</v>
      </c>
      <c r="O115" s="34">
        <v>155.881</v>
      </c>
      <c r="P115" s="9">
        <f t="shared" si="21"/>
        <v>6121.526000000002</v>
      </c>
    </row>
    <row r="116" spans="1:16" ht="19.5" customHeight="1">
      <c r="A116" s="44" t="s">
        <v>68</v>
      </c>
      <c r="B116" s="382" t="s">
        <v>127</v>
      </c>
      <c r="C116" s="54" t="s">
        <v>16</v>
      </c>
      <c r="D116" s="5"/>
      <c r="E116" s="5"/>
      <c r="F116" s="5">
        <v>1104.78</v>
      </c>
      <c r="G116" s="5">
        <v>1489.02</v>
      </c>
      <c r="H116" s="5"/>
      <c r="I116" s="5"/>
      <c r="J116" s="5"/>
      <c r="K116" s="5"/>
      <c r="L116" s="5"/>
      <c r="M116" s="5"/>
      <c r="N116" s="5"/>
      <c r="O116" s="5"/>
      <c r="P116" s="8">
        <f t="shared" si="21"/>
        <v>2593.8</v>
      </c>
    </row>
    <row r="117" spans="1:16" ht="19.5" customHeight="1">
      <c r="A117" s="50"/>
      <c r="B117" s="383"/>
      <c r="C117" s="48" t="s">
        <v>18</v>
      </c>
      <c r="D117" s="34"/>
      <c r="E117" s="34"/>
      <c r="F117" s="34">
        <v>39267.261</v>
      </c>
      <c r="G117" s="34">
        <v>78944.771</v>
      </c>
      <c r="H117" s="34"/>
      <c r="I117" s="34"/>
      <c r="J117" s="34"/>
      <c r="K117" s="34"/>
      <c r="L117" s="34"/>
      <c r="M117" s="34"/>
      <c r="N117" s="34"/>
      <c r="O117" s="34"/>
      <c r="P117" s="9">
        <f t="shared" si="21"/>
        <v>118212.03199999999</v>
      </c>
    </row>
    <row r="118" spans="1:16" ht="19.5" customHeight="1">
      <c r="A118" s="50"/>
      <c r="B118" s="382" t="s">
        <v>128</v>
      </c>
      <c r="C118" s="54" t="s">
        <v>16</v>
      </c>
      <c r="D118" s="5"/>
      <c r="E118" s="5"/>
      <c r="F118" s="5">
        <v>0.007</v>
      </c>
      <c r="G118" s="5"/>
      <c r="H118" s="5"/>
      <c r="I118" s="5"/>
      <c r="J118" s="5"/>
      <c r="K118" s="5"/>
      <c r="L118" s="5"/>
      <c r="M118" s="5"/>
      <c r="N118" s="5"/>
      <c r="O118" s="5"/>
      <c r="P118" s="8">
        <f t="shared" si="21"/>
        <v>0.007</v>
      </c>
    </row>
    <row r="119" spans="1:16" ht="19.5" customHeight="1">
      <c r="A119" s="50"/>
      <c r="B119" s="383"/>
      <c r="C119" s="48" t="s">
        <v>18</v>
      </c>
      <c r="D119" s="34"/>
      <c r="E119" s="34"/>
      <c r="F119" s="34">
        <v>6.93</v>
      </c>
      <c r="G119" s="34"/>
      <c r="H119" s="34"/>
      <c r="I119" s="34"/>
      <c r="J119" s="34"/>
      <c r="K119" s="34"/>
      <c r="L119" s="34"/>
      <c r="M119" s="34"/>
      <c r="N119" s="34"/>
      <c r="O119" s="34"/>
      <c r="P119" s="9">
        <f t="shared" si="21"/>
        <v>6.93</v>
      </c>
    </row>
    <row r="120" spans="1:16" ht="19.5" customHeight="1">
      <c r="A120" s="44" t="s">
        <v>70</v>
      </c>
      <c r="B120" s="382" t="s">
        <v>137</v>
      </c>
      <c r="C120" s="54" t="s">
        <v>16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8"/>
    </row>
    <row r="121" spans="1:16" ht="19.5" customHeight="1">
      <c r="A121" s="50"/>
      <c r="B121" s="383"/>
      <c r="C121" s="48" t="s">
        <v>18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9"/>
    </row>
    <row r="122" spans="1:16" ht="19.5" customHeight="1">
      <c r="A122" s="50"/>
      <c r="B122" s="382" t="s">
        <v>72</v>
      </c>
      <c r="C122" s="54" t="s">
        <v>16</v>
      </c>
      <c r="D122" s="5">
        <v>3.81</v>
      </c>
      <c r="E122" s="5">
        <v>1.206</v>
      </c>
      <c r="F122" s="5">
        <v>1.816</v>
      </c>
      <c r="G122" s="5">
        <v>2.5255</v>
      </c>
      <c r="H122" s="5">
        <v>3.5495</v>
      </c>
      <c r="I122" s="5">
        <v>3.2695</v>
      </c>
      <c r="J122" s="5">
        <v>3.757</v>
      </c>
      <c r="K122" s="5">
        <v>2.516</v>
      </c>
      <c r="L122" s="5">
        <v>4.12</v>
      </c>
      <c r="M122" s="5">
        <v>1.7892</v>
      </c>
      <c r="N122" s="5">
        <v>1.0835</v>
      </c>
      <c r="O122" s="5">
        <v>1.206</v>
      </c>
      <c r="P122" s="8">
        <f t="shared" si="21"/>
        <v>30.648200000000003</v>
      </c>
    </row>
    <row r="123" spans="1:16" ht="19.5" customHeight="1">
      <c r="A123" s="50"/>
      <c r="B123" s="383"/>
      <c r="C123" s="48" t="s">
        <v>18</v>
      </c>
      <c r="D123" s="34">
        <v>1691.628</v>
      </c>
      <c r="E123" s="34">
        <v>945</v>
      </c>
      <c r="F123" s="34">
        <v>1644.144</v>
      </c>
      <c r="G123" s="34">
        <v>2306.291</v>
      </c>
      <c r="H123" s="34">
        <v>2456.828</v>
      </c>
      <c r="I123" s="34">
        <v>2004.491</v>
      </c>
      <c r="J123" s="34">
        <v>2299.094</v>
      </c>
      <c r="K123" s="34">
        <v>1478.519</v>
      </c>
      <c r="L123" s="34">
        <v>1557.705</v>
      </c>
      <c r="M123" s="34">
        <v>801.282</v>
      </c>
      <c r="N123" s="34">
        <v>566.244</v>
      </c>
      <c r="O123" s="34">
        <v>2112.502</v>
      </c>
      <c r="P123" s="9">
        <f t="shared" si="21"/>
        <v>19863.728</v>
      </c>
    </row>
    <row r="124" spans="1:16" ht="19.5" customHeight="1">
      <c r="A124" s="44" t="s">
        <v>23</v>
      </c>
      <c r="B124" s="382" t="s">
        <v>130</v>
      </c>
      <c r="C124" s="54" t="s">
        <v>16</v>
      </c>
      <c r="D124" s="5">
        <v>0.5118</v>
      </c>
      <c r="E124" s="5">
        <v>0.1717</v>
      </c>
      <c r="F124" s="5">
        <v>0.1716</v>
      </c>
      <c r="G124" s="5">
        <v>0.3684</v>
      </c>
      <c r="H124" s="5">
        <v>0.6086</v>
      </c>
      <c r="I124" s="5">
        <v>0.7337</v>
      </c>
      <c r="J124" s="5">
        <v>88.1163</v>
      </c>
      <c r="K124" s="5">
        <v>10.4149</v>
      </c>
      <c r="L124" s="5">
        <v>0.3567</v>
      </c>
      <c r="M124" s="5">
        <v>0.0751</v>
      </c>
      <c r="N124" s="5">
        <v>0.5554</v>
      </c>
      <c r="O124" s="5">
        <v>0.9784</v>
      </c>
      <c r="P124" s="8">
        <f t="shared" si="21"/>
        <v>103.0626</v>
      </c>
    </row>
    <row r="125" spans="1:16" ht="19.5" customHeight="1">
      <c r="A125" s="50"/>
      <c r="B125" s="383"/>
      <c r="C125" s="48" t="s">
        <v>18</v>
      </c>
      <c r="D125" s="34">
        <v>419.954</v>
      </c>
      <c r="E125" s="34">
        <v>163.085</v>
      </c>
      <c r="F125" s="34">
        <v>124.832</v>
      </c>
      <c r="G125" s="34">
        <v>319.718</v>
      </c>
      <c r="H125" s="34">
        <v>500.639</v>
      </c>
      <c r="I125" s="34">
        <v>414.694</v>
      </c>
      <c r="J125" s="34">
        <v>20132.852</v>
      </c>
      <c r="K125" s="34">
        <v>2504.575</v>
      </c>
      <c r="L125" s="34">
        <v>331.487</v>
      </c>
      <c r="M125" s="34">
        <v>76.967</v>
      </c>
      <c r="N125" s="34">
        <v>373.154</v>
      </c>
      <c r="O125" s="34">
        <v>705.02</v>
      </c>
      <c r="P125" s="9">
        <f t="shared" si="21"/>
        <v>26066.977</v>
      </c>
    </row>
    <row r="126" spans="1:16" ht="19.5" customHeight="1">
      <c r="A126" s="50"/>
      <c r="B126" s="47" t="s">
        <v>20</v>
      </c>
      <c r="C126" s="54" t="s">
        <v>16</v>
      </c>
      <c r="D126" s="5">
        <v>0.28</v>
      </c>
      <c r="E126" s="5"/>
      <c r="F126" s="5">
        <v>1.2084</v>
      </c>
      <c r="G126" s="5">
        <v>11.3815</v>
      </c>
      <c r="H126" s="5">
        <v>27.9675</v>
      </c>
      <c r="I126" s="5">
        <v>27.3555</v>
      </c>
      <c r="J126" s="5">
        <v>20.12</v>
      </c>
      <c r="K126" s="5">
        <v>7.98</v>
      </c>
      <c r="L126" s="5">
        <v>1.5305</v>
      </c>
      <c r="M126" s="5">
        <v>-0.577</v>
      </c>
      <c r="N126" s="5"/>
      <c r="O126" s="5">
        <v>0.048</v>
      </c>
      <c r="P126" s="8">
        <f t="shared" si="21"/>
        <v>97.29440000000002</v>
      </c>
    </row>
    <row r="127" spans="1:16" ht="19.5" customHeight="1">
      <c r="A127" s="50"/>
      <c r="B127" s="48" t="s">
        <v>73</v>
      </c>
      <c r="C127" s="48" t="s">
        <v>18</v>
      </c>
      <c r="D127" s="34">
        <v>58.8</v>
      </c>
      <c r="E127" s="34"/>
      <c r="F127" s="34">
        <v>383.933</v>
      </c>
      <c r="G127" s="34">
        <v>1915.374</v>
      </c>
      <c r="H127" s="34">
        <v>3680.337</v>
      </c>
      <c r="I127" s="34">
        <v>3266.673</v>
      </c>
      <c r="J127" s="34">
        <v>2583.718</v>
      </c>
      <c r="K127" s="34">
        <v>1136.815</v>
      </c>
      <c r="L127" s="34">
        <v>265.342</v>
      </c>
      <c r="M127" s="34">
        <v>-62.316</v>
      </c>
      <c r="N127" s="34"/>
      <c r="O127" s="34">
        <v>72.576</v>
      </c>
      <c r="P127" s="9">
        <f t="shared" si="21"/>
        <v>13301.251999999999</v>
      </c>
    </row>
    <row r="128" spans="1:16" ht="19.5" customHeight="1">
      <c r="A128" s="50"/>
      <c r="B128" s="380" t="s">
        <v>107</v>
      </c>
      <c r="C128" s="54" t="s">
        <v>16</v>
      </c>
      <c r="D128" s="5">
        <f>+D106+D108+D110+D112+D114+D116+D118+D120+D122+D124+D126</f>
        <v>16.488000000000003</v>
      </c>
      <c r="E128" s="5">
        <f aca="true" t="shared" si="22" ref="E128:G129">+E106+E108+E110+E112+E114+E116+E118+E120+E122+E124+E126</f>
        <v>2.9785</v>
      </c>
      <c r="F128" s="5">
        <f>+F106+F108+F110+F112+F114+F116+F118+F120+F122+F124+F126</f>
        <v>1109.7084</v>
      </c>
      <c r="G128" s="5">
        <f t="shared" si="22"/>
        <v>1508.0858</v>
      </c>
      <c r="H128" s="5">
        <f aca="true" t="shared" si="23" ref="H128:O129">+H106+H108+H110+H112+H114+H116+H118+H120+H122+H124+H126</f>
        <v>40.6353</v>
      </c>
      <c r="I128" s="5">
        <f t="shared" si="23"/>
        <v>65.7981</v>
      </c>
      <c r="J128" s="5">
        <f>+J106+J108+J110+J112+J114+J116+J118+J120+J122+J124+J126</f>
        <v>214.9424</v>
      </c>
      <c r="K128" s="5">
        <f t="shared" si="23"/>
        <v>42.53960000000001</v>
      </c>
      <c r="L128" s="83">
        <f t="shared" si="23"/>
        <v>8.8007</v>
      </c>
      <c r="M128" s="83">
        <f t="shared" si="23"/>
        <v>2.9466</v>
      </c>
      <c r="N128" s="83">
        <f t="shared" si="23"/>
        <v>9.4777</v>
      </c>
      <c r="O128" s="5">
        <f t="shared" si="23"/>
        <v>12.7297</v>
      </c>
      <c r="P128" s="8">
        <f t="shared" si="21"/>
        <v>3035.1307999999995</v>
      </c>
    </row>
    <row r="129" spans="1:16" ht="19.5" customHeight="1">
      <c r="A129" s="49"/>
      <c r="B129" s="381"/>
      <c r="C129" s="48" t="s">
        <v>18</v>
      </c>
      <c r="D129" s="34">
        <f>+D107+D109+D111+D113+D115+D117+D119+D121+D123+D125+D127</f>
        <v>7018.355999999999</v>
      </c>
      <c r="E129" s="34">
        <f t="shared" si="22"/>
        <v>1927.749</v>
      </c>
      <c r="F129" s="34">
        <f>+F107+F109+F111+F113+F115+F117+F119+F121+F123+F125+F127</f>
        <v>42762.943</v>
      </c>
      <c r="G129" s="34">
        <f t="shared" si="22"/>
        <v>85630.68799999998</v>
      </c>
      <c r="H129" s="34">
        <f t="shared" si="23"/>
        <v>11400.452000000001</v>
      </c>
      <c r="I129" s="34">
        <f t="shared" si="23"/>
        <v>25328.464</v>
      </c>
      <c r="J129" s="34">
        <f>+J107+J109+J111+J113+J115+J117+J119+J121+J123+J125+J127</f>
        <v>75083.86599999998</v>
      </c>
      <c r="K129" s="34">
        <f t="shared" si="23"/>
        <v>19843.996</v>
      </c>
      <c r="L129" s="34">
        <f t="shared" si="23"/>
        <v>4319.705</v>
      </c>
      <c r="M129" s="34">
        <f t="shared" si="23"/>
        <v>1974.488</v>
      </c>
      <c r="N129" s="34">
        <f t="shared" si="23"/>
        <v>4492.571</v>
      </c>
      <c r="O129" s="34">
        <f t="shared" si="23"/>
        <v>11130.558</v>
      </c>
      <c r="P129" s="9">
        <f t="shared" si="21"/>
        <v>290913.836</v>
      </c>
    </row>
    <row r="130" spans="1:16" ht="19.5" customHeight="1">
      <c r="A130" s="44" t="s">
        <v>0</v>
      </c>
      <c r="B130" s="382" t="s">
        <v>74</v>
      </c>
      <c r="C130" s="54" t="s">
        <v>16</v>
      </c>
      <c r="D130" s="5">
        <v>0.01</v>
      </c>
      <c r="E130" s="5">
        <v>0.01</v>
      </c>
      <c r="F130" s="5">
        <v>0.016</v>
      </c>
      <c r="G130" s="5"/>
      <c r="H130" s="5">
        <v>0.0065</v>
      </c>
      <c r="I130" s="5"/>
      <c r="J130" s="5"/>
      <c r="K130" s="5"/>
      <c r="L130" s="5"/>
      <c r="M130" s="5"/>
      <c r="N130" s="5"/>
      <c r="O130" s="5"/>
      <c r="P130" s="8">
        <f t="shared" si="21"/>
        <v>0.0425</v>
      </c>
    </row>
    <row r="131" spans="1:16" ht="19.5" customHeight="1">
      <c r="A131" s="44" t="s">
        <v>0</v>
      </c>
      <c r="B131" s="383"/>
      <c r="C131" s="48" t="s">
        <v>18</v>
      </c>
      <c r="D131" s="34">
        <v>2.52</v>
      </c>
      <c r="E131" s="34">
        <v>2.52</v>
      </c>
      <c r="F131" s="34">
        <v>6.72</v>
      </c>
      <c r="G131" s="34"/>
      <c r="H131" s="34">
        <v>1.404</v>
      </c>
      <c r="I131" s="34"/>
      <c r="J131" s="34"/>
      <c r="K131" s="34"/>
      <c r="L131" s="34"/>
      <c r="M131" s="34"/>
      <c r="N131" s="34"/>
      <c r="O131" s="34"/>
      <c r="P131" s="9">
        <f t="shared" si="21"/>
        <v>13.164</v>
      </c>
    </row>
    <row r="132" spans="1:16" ht="19.5" customHeight="1">
      <c r="A132" s="44" t="s">
        <v>75</v>
      </c>
      <c r="B132" s="382" t="s">
        <v>76</v>
      </c>
      <c r="C132" s="54" t="s">
        <v>16</v>
      </c>
      <c r="D132" s="5">
        <v>0.35</v>
      </c>
      <c r="E132" s="5"/>
      <c r="F132" s="5">
        <v>6.283</v>
      </c>
      <c r="G132" s="5">
        <v>1.095</v>
      </c>
      <c r="H132" s="5"/>
      <c r="I132" s="5"/>
      <c r="J132" s="5"/>
      <c r="K132" s="5"/>
      <c r="L132" s="5"/>
      <c r="M132" s="5"/>
      <c r="N132" s="5"/>
      <c r="O132" s="5"/>
      <c r="P132" s="8">
        <f t="shared" si="21"/>
        <v>7.728</v>
      </c>
    </row>
    <row r="133" spans="1:16" ht="19.5" customHeight="1">
      <c r="A133" s="50"/>
      <c r="B133" s="383"/>
      <c r="C133" s="48" t="s">
        <v>18</v>
      </c>
      <c r="D133" s="34">
        <v>48.195</v>
      </c>
      <c r="E133" s="34"/>
      <c r="F133" s="34">
        <v>266.784</v>
      </c>
      <c r="G133" s="34">
        <v>53.395</v>
      </c>
      <c r="H133" s="34"/>
      <c r="I133" s="34"/>
      <c r="J133" s="34"/>
      <c r="K133" s="34"/>
      <c r="L133" s="34"/>
      <c r="M133" s="34"/>
      <c r="N133" s="34"/>
      <c r="O133" s="34"/>
      <c r="P133" s="9">
        <f t="shared" si="21"/>
        <v>368.37399999999997</v>
      </c>
    </row>
    <row r="134" spans="1:16" ht="19.5" customHeight="1">
      <c r="A134" s="44" t="s">
        <v>77</v>
      </c>
      <c r="B134" s="47" t="s">
        <v>20</v>
      </c>
      <c r="C134" s="140" t="s">
        <v>16</v>
      </c>
      <c r="D134" s="199">
        <v>3.5765</v>
      </c>
      <c r="E134" s="199">
        <v>67.1187</v>
      </c>
      <c r="F134" s="199">
        <v>150.9539</v>
      </c>
      <c r="G134" s="199">
        <v>293.5507</v>
      </c>
      <c r="H134" s="199">
        <v>112.11</v>
      </c>
      <c r="I134" s="199"/>
      <c r="J134" s="199"/>
      <c r="K134" s="199">
        <v>0.012</v>
      </c>
      <c r="L134" s="199"/>
      <c r="M134" s="199"/>
      <c r="N134" s="199"/>
      <c r="O134" s="199"/>
      <c r="P134" s="194">
        <f t="shared" si="21"/>
        <v>627.3217999999999</v>
      </c>
    </row>
    <row r="135" spans="1:16" ht="19.5" customHeight="1">
      <c r="A135" s="50"/>
      <c r="B135" s="47" t="s">
        <v>78</v>
      </c>
      <c r="C135" s="54" t="s">
        <v>79</v>
      </c>
      <c r="D135" s="202"/>
      <c r="E135" s="182"/>
      <c r="F135" s="197"/>
      <c r="G135" s="182"/>
      <c r="H135" s="5"/>
      <c r="I135" s="5"/>
      <c r="J135" s="5"/>
      <c r="K135" s="5"/>
      <c r="L135" s="5"/>
      <c r="M135" s="5"/>
      <c r="N135" s="5"/>
      <c r="O135" s="5"/>
      <c r="P135" s="8"/>
    </row>
    <row r="136" spans="1:16" ht="19.5" customHeight="1">
      <c r="A136" s="44" t="s">
        <v>23</v>
      </c>
      <c r="B136" s="2"/>
      <c r="C136" s="48" t="s">
        <v>18</v>
      </c>
      <c r="D136" s="34">
        <v>1263.921</v>
      </c>
      <c r="E136" s="86">
        <v>8355.626</v>
      </c>
      <c r="F136" s="86">
        <v>4054.146</v>
      </c>
      <c r="G136" s="34">
        <v>4050.27</v>
      </c>
      <c r="H136" s="97">
        <v>1210.788</v>
      </c>
      <c r="I136" s="34"/>
      <c r="J136" s="34"/>
      <c r="K136" s="34">
        <v>5.832</v>
      </c>
      <c r="L136" s="34"/>
      <c r="M136" s="34"/>
      <c r="N136" s="34"/>
      <c r="O136" s="34"/>
      <c r="P136" s="9">
        <f t="shared" si="21"/>
        <v>18940.583</v>
      </c>
    </row>
    <row r="137" spans="1:16" ht="19.5" customHeight="1">
      <c r="A137" s="50"/>
      <c r="B137" s="55" t="s">
        <v>0</v>
      </c>
      <c r="C137" s="54" t="s">
        <v>16</v>
      </c>
      <c r="D137" s="5">
        <f>+D130+D132+D134</f>
        <v>3.9364999999999997</v>
      </c>
      <c r="E137" s="5">
        <f aca="true" t="shared" si="24" ref="E137:K137">+E130+E132+E134</f>
        <v>67.12870000000001</v>
      </c>
      <c r="F137" s="5">
        <f t="shared" si="24"/>
        <v>157.2529</v>
      </c>
      <c r="G137" s="5">
        <f t="shared" si="24"/>
        <v>294.64570000000003</v>
      </c>
      <c r="H137" s="5">
        <f t="shared" si="24"/>
        <v>112.1165</v>
      </c>
      <c r="I137" s="5"/>
      <c r="J137" s="5"/>
      <c r="K137" s="5">
        <f t="shared" si="24"/>
        <v>0.012</v>
      </c>
      <c r="L137" s="5"/>
      <c r="M137" s="5"/>
      <c r="N137" s="5"/>
      <c r="O137" s="5"/>
      <c r="P137" s="194">
        <f t="shared" si="21"/>
        <v>635.0922999999999</v>
      </c>
    </row>
    <row r="138" spans="1:16" ht="19.5" customHeight="1">
      <c r="A138" s="50"/>
      <c r="B138" s="56" t="s">
        <v>138</v>
      </c>
      <c r="C138" s="54" t="s">
        <v>79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8"/>
    </row>
    <row r="139" spans="1:16" ht="19.5" customHeight="1">
      <c r="A139" s="49"/>
      <c r="B139" s="2"/>
      <c r="C139" s="48" t="s">
        <v>18</v>
      </c>
      <c r="D139" s="34">
        <f>+D131+D133+D136</f>
        <v>1314.636</v>
      </c>
      <c r="E139" s="34">
        <f aca="true" t="shared" si="25" ref="E139:K139">+E131+E133+E136</f>
        <v>8358.146</v>
      </c>
      <c r="F139" s="34">
        <f>+F131+F133+F136</f>
        <v>4327.650000000001</v>
      </c>
      <c r="G139" s="34">
        <f t="shared" si="25"/>
        <v>4103.665</v>
      </c>
      <c r="H139" s="34">
        <f t="shared" si="25"/>
        <v>1212.192</v>
      </c>
      <c r="I139" s="34"/>
      <c r="J139" s="34"/>
      <c r="K139" s="34">
        <f t="shared" si="25"/>
        <v>5.832</v>
      </c>
      <c r="L139" s="34"/>
      <c r="M139" s="34"/>
      <c r="N139" s="34"/>
      <c r="O139" s="34"/>
      <c r="P139" s="9">
        <f t="shared" si="21"/>
        <v>19322.121</v>
      </c>
    </row>
    <row r="140" spans="1:16" s="60" customFormat="1" ht="19.5" customHeight="1">
      <c r="A140" s="57"/>
      <c r="B140" s="58" t="s">
        <v>0</v>
      </c>
      <c r="C140" s="198" t="s">
        <v>16</v>
      </c>
      <c r="D140" s="199">
        <f>D137+D128+D104</f>
        <v>468.37674999999996</v>
      </c>
      <c r="E140" s="199">
        <f aca="true" t="shared" si="26" ref="E140:O140">E137+E128+E104</f>
        <v>160.3462</v>
      </c>
      <c r="F140" s="199">
        <f>F137+F128+F104</f>
        <v>1336.5707499999999</v>
      </c>
      <c r="G140" s="199">
        <f t="shared" si="26"/>
        <v>2036.22375</v>
      </c>
      <c r="H140" s="199">
        <f t="shared" si="26"/>
        <v>485.82365000000004</v>
      </c>
      <c r="I140" s="199">
        <f t="shared" si="26"/>
        <v>376.36545</v>
      </c>
      <c r="J140" s="199">
        <f t="shared" si="26"/>
        <v>790.37149</v>
      </c>
      <c r="K140" s="199">
        <f t="shared" si="26"/>
        <v>139.29145</v>
      </c>
      <c r="L140" s="199">
        <f t="shared" si="26"/>
        <v>240.95195</v>
      </c>
      <c r="M140" s="199">
        <f t="shared" si="26"/>
        <v>1021.3816499999999</v>
      </c>
      <c r="N140" s="199">
        <f t="shared" si="26"/>
        <v>723.20108</v>
      </c>
      <c r="O140" s="199">
        <f t="shared" si="26"/>
        <v>191.39850000000004</v>
      </c>
      <c r="P140" s="200">
        <f t="shared" si="21"/>
        <v>7970.30267</v>
      </c>
    </row>
    <row r="141" spans="1:16" s="60" customFormat="1" ht="19.5" customHeight="1">
      <c r="A141" s="57"/>
      <c r="B141" s="61" t="s">
        <v>131</v>
      </c>
      <c r="C141" s="62" t="s">
        <v>79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15"/>
    </row>
    <row r="142" spans="1:16" s="60" customFormat="1" ht="19.5" customHeight="1" thickBot="1">
      <c r="A142" s="63"/>
      <c r="B142" s="64"/>
      <c r="C142" s="65" t="s">
        <v>18</v>
      </c>
      <c r="D142" s="6">
        <f>D139+D129+D105</f>
        <v>92783.71299999997</v>
      </c>
      <c r="E142" s="6">
        <f aca="true" t="shared" si="27" ref="E142:O142">E139+E129+E105</f>
        <v>37462.654</v>
      </c>
      <c r="F142" s="6">
        <f>F139+F129+F105</f>
        <v>66898.065</v>
      </c>
      <c r="G142" s="6">
        <f t="shared" si="27"/>
        <v>141959.48899999997</v>
      </c>
      <c r="H142" s="6">
        <f t="shared" si="27"/>
        <v>115573.105</v>
      </c>
      <c r="I142" s="6">
        <f t="shared" si="27"/>
        <v>206840.868</v>
      </c>
      <c r="J142" s="6">
        <f t="shared" si="27"/>
        <v>361905.996</v>
      </c>
      <c r="K142" s="6">
        <f t="shared" si="27"/>
        <v>68463.31199999999</v>
      </c>
      <c r="L142" s="6">
        <f t="shared" si="27"/>
        <v>86864.81799999998</v>
      </c>
      <c r="M142" s="6">
        <f t="shared" si="27"/>
        <v>457224.204</v>
      </c>
      <c r="N142" s="6">
        <f t="shared" si="27"/>
        <v>308558.58400000003</v>
      </c>
      <c r="O142" s="6">
        <f t="shared" si="27"/>
        <v>89988.344</v>
      </c>
      <c r="P142" s="7">
        <f>SUM(D142:O142)</f>
        <v>2034523.152</v>
      </c>
    </row>
    <row r="143" spans="15:16" ht="18.75">
      <c r="O143" s="85"/>
      <c r="P143" s="67" t="s">
        <v>92</v>
      </c>
    </row>
    <row r="145" spans="4:11" ht="18.75">
      <c r="D145" s="180"/>
      <c r="E145" s="180"/>
      <c r="K145" s="24"/>
    </row>
    <row r="146" spans="4:11" ht="18.75">
      <c r="D146" s="180"/>
      <c r="E146" s="180"/>
      <c r="K146" s="24"/>
    </row>
    <row r="147" spans="4:11" ht="18.75">
      <c r="D147" s="180"/>
      <c r="E147" s="180"/>
      <c r="K147" s="24"/>
    </row>
    <row r="148" ht="18.75">
      <c r="K148" s="24"/>
    </row>
    <row r="149" ht="18.75">
      <c r="E149" s="207"/>
    </row>
  </sheetData>
  <sheetProtection/>
  <mergeCells count="52">
    <mergeCell ref="A1:P1"/>
    <mergeCell ref="B5:B6"/>
    <mergeCell ref="B9:B10"/>
    <mergeCell ref="A11:B12"/>
    <mergeCell ref="B13:B14"/>
    <mergeCell ref="B31:B32"/>
    <mergeCell ref="B33:B34"/>
    <mergeCell ref="B15:B16"/>
    <mergeCell ref="B17:B18"/>
    <mergeCell ref="B21:B22"/>
    <mergeCell ref="B23:B24"/>
    <mergeCell ref="B25:B26"/>
    <mergeCell ref="B29:B30"/>
    <mergeCell ref="B37:B38"/>
    <mergeCell ref="A39:B40"/>
    <mergeCell ref="A41:B42"/>
    <mergeCell ref="A43:B44"/>
    <mergeCell ref="A45:B46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B88:B89"/>
    <mergeCell ref="A90:B91"/>
    <mergeCell ref="A92:B93"/>
    <mergeCell ref="A94:B95"/>
    <mergeCell ref="A96:B97"/>
    <mergeCell ref="B130:B131"/>
    <mergeCell ref="A98:B99"/>
    <mergeCell ref="A100:B101"/>
    <mergeCell ref="A102:B103"/>
    <mergeCell ref="A104:B105"/>
    <mergeCell ref="B106:B107"/>
    <mergeCell ref="B108:B109"/>
    <mergeCell ref="B132:B133"/>
    <mergeCell ref="B118:B119"/>
    <mergeCell ref="B120:B121"/>
    <mergeCell ref="B122:B123"/>
    <mergeCell ref="B124:B125"/>
    <mergeCell ref="B110:B111"/>
    <mergeCell ref="B112:B113"/>
    <mergeCell ref="B114:B115"/>
    <mergeCell ref="B116:B117"/>
    <mergeCell ref="B128:B129"/>
  </mergeCells>
  <printOptions/>
  <pageMargins left="0.7" right="0.7" top="0.75" bottom="0.75" header="0.3" footer="0.3"/>
  <pageSetup firstPageNumber="45" useFirstPageNumber="1" fitToHeight="2" fitToWidth="1" horizontalDpi="600" verticalDpi="600" orientation="landscape" paperSize="9" scale="36" r:id="rId1"/>
  <rowBreaks count="1" manualBreakCount="1">
    <brk id="7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zoomScale="50" zoomScaleNormal="50" zoomScalePageLayoutView="0" workbookViewId="0" topLeftCell="A1">
      <pane xSplit="3" ySplit="4" topLeftCell="D53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4" width="22.625" style="11" customWidth="1"/>
    <col min="5" max="15" width="22.625" style="70" customWidth="1"/>
    <col min="16" max="16" width="25.625" style="37" customWidth="1"/>
    <col min="17" max="16384" width="9.00390625" style="38" customWidth="1"/>
  </cols>
  <sheetData>
    <row r="1" spans="1:16" ht="30.75" customHeight="1">
      <c r="A1" s="375" t="s">
        <v>104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ht="30.75" customHeight="1">
      <c r="B2" s="36"/>
    </row>
    <row r="3" spans="1:15" ht="19.5" customHeight="1" thickBot="1">
      <c r="A3" s="12" t="s">
        <v>221</v>
      </c>
      <c r="B3" s="39"/>
      <c r="C3" s="12"/>
      <c r="O3" s="64" t="s">
        <v>90</v>
      </c>
    </row>
    <row r="4" spans="1:16" ht="19.5" customHeight="1">
      <c r="A4" s="40"/>
      <c r="B4" s="41"/>
      <c r="C4" s="41"/>
      <c r="D4" s="42" t="s">
        <v>2</v>
      </c>
      <c r="E4" s="82" t="s">
        <v>3</v>
      </c>
      <c r="F4" s="82" t="s">
        <v>4</v>
      </c>
      <c r="G4" s="82" t="s">
        <v>5</v>
      </c>
      <c r="H4" s="82" t="s">
        <v>6</v>
      </c>
      <c r="I4" s="82" t="s">
        <v>7</v>
      </c>
      <c r="J4" s="82" t="s">
        <v>8</v>
      </c>
      <c r="K4" s="82" t="s">
        <v>9</v>
      </c>
      <c r="L4" s="82" t="s">
        <v>10</v>
      </c>
      <c r="M4" s="82" t="s">
        <v>11</v>
      </c>
      <c r="N4" s="82" t="s">
        <v>12</v>
      </c>
      <c r="O4" s="82" t="s">
        <v>13</v>
      </c>
      <c r="P4" s="43" t="s">
        <v>14</v>
      </c>
    </row>
    <row r="5" spans="1:16" ht="19.5" customHeight="1">
      <c r="A5" s="44" t="s">
        <v>0</v>
      </c>
      <c r="B5" s="382" t="s">
        <v>15</v>
      </c>
      <c r="C5" s="54" t="s">
        <v>16</v>
      </c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</row>
    <row r="6" spans="1:16" ht="19.5" customHeight="1">
      <c r="A6" s="44" t="s">
        <v>17</v>
      </c>
      <c r="B6" s="383"/>
      <c r="C6" s="48" t="s">
        <v>18</v>
      </c>
      <c r="D6" s="2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9"/>
    </row>
    <row r="7" spans="1:16" ht="19.5" customHeight="1">
      <c r="A7" s="44" t="s">
        <v>19</v>
      </c>
      <c r="B7" s="47" t="s">
        <v>20</v>
      </c>
      <c r="C7" s="54" t="s">
        <v>16</v>
      </c>
      <c r="D7" s="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8"/>
    </row>
    <row r="8" spans="1:16" ht="19.5" customHeight="1">
      <c r="A8" s="44" t="s">
        <v>21</v>
      </c>
      <c r="B8" s="48" t="s">
        <v>22</v>
      </c>
      <c r="C8" s="48" t="s">
        <v>18</v>
      </c>
      <c r="D8" s="2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9"/>
    </row>
    <row r="9" spans="1:16" s="60" customFormat="1" ht="19.5" customHeight="1">
      <c r="A9" s="89" t="s">
        <v>23</v>
      </c>
      <c r="B9" s="388" t="s">
        <v>107</v>
      </c>
      <c r="C9" s="62" t="s">
        <v>16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5"/>
    </row>
    <row r="10" spans="1:16" s="60" customFormat="1" ht="19.5" customHeight="1">
      <c r="A10" s="90"/>
      <c r="B10" s="389"/>
      <c r="C10" s="91" t="s">
        <v>18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92"/>
    </row>
    <row r="11" spans="1:16" ht="19.5" customHeight="1">
      <c r="A11" s="376" t="s">
        <v>25</v>
      </c>
      <c r="B11" s="377"/>
      <c r="C11" s="54" t="s">
        <v>16</v>
      </c>
      <c r="D11" s="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8"/>
    </row>
    <row r="12" spans="1:16" ht="19.5" customHeight="1">
      <c r="A12" s="378"/>
      <c r="B12" s="379"/>
      <c r="C12" s="48" t="s">
        <v>18</v>
      </c>
      <c r="D12" s="2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9"/>
    </row>
    <row r="13" spans="1:16" ht="19.5" customHeight="1">
      <c r="A13" s="50"/>
      <c r="B13" s="382" t="s">
        <v>26</v>
      </c>
      <c r="C13" s="54" t="s">
        <v>16</v>
      </c>
      <c r="D13" s="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8"/>
    </row>
    <row r="14" spans="1:16" ht="19.5" customHeight="1">
      <c r="A14" s="44" t="s">
        <v>0</v>
      </c>
      <c r="B14" s="383"/>
      <c r="C14" s="48" t="s">
        <v>18</v>
      </c>
      <c r="D14" s="2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9"/>
    </row>
    <row r="15" spans="1:16" ht="19.5" customHeight="1">
      <c r="A15" s="44" t="s">
        <v>27</v>
      </c>
      <c r="B15" s="382" t="s">
        <v>28</v>
      </c>
      <c r="C15" s="54" t="s">
        <v>16</v>
      </c>
      <c r="D15" s="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8"/>
    </row>
    <row r="16" spans="1:16" ht="19.5" customHeight="1">
      <c r="A16" s="44" t="s">
        <v>0</v>
      </c>
      <c r="B16" s="383"/>
      <c r="C16" s="48" t="s">
        <v>18</v>
      </c>
      <c r="D16" s="2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9"/>
    </row>
    <row r="17" spans="1:16" ht="19.5" customHeight="1">
      <c r="A17" s="44" t="s">
        <v>29</v>
      </c>
      <c r="B17" s="382" t="s">
        <v>30</v>
      </c>
      <c r="C17" s="54" t="s">
        <v>16</v>
      </c>
      <c r="D17" s="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8"/>
    </row>
    <row r="18" spans="1:16" ht="19.5" customHeight="1">
      <c r="A18" s="50"/>
      <c r="B18" s="383"/>
      <c r="C18" s="48" t="s">
        <v>18</v>
      </c>
      <c r="D18" s="2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9"/>
    </row>
    <row r="19" spans="1:16" ht="19.5" customHeight="1">
      <c r="A19" s="44" t="s">
        <v>31</v>
      </c>
      <c r="B19" s="47" t="s">
        <v>108</v>
      </c>
      <c r="C19" s="54" t="s">
        <v>16</v>
      </c>
      <c r="D19" s="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8"/>
    </row>
    <row r="20" spans="1:16" ht="19.5" customHeight="1">
      <c r="A20" s="50"/>
      <c r="B20" s="48" t="s">
        <v>109</v>
      </c>
      <c r="C20" s="48" t="s">
        <v>18</v>
      </c>
      <c r="D20" s="2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9"/>
    </row>
    <row r="21" spans="1:16" ht="19.5" customHeight="1">
      <c r="A21" s="44" t="s">
        <v>23</v>
      </c>
      <c r="B21" s="382" t="s">
        <v>32</v>
      </c>
      <c r="C21" s="54" t="s">
        <v>16</v>
      </c>
      <c r="D21" s="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8"/>
    </row>
    <row r="22" spans="1:16" ht="19.5" customHeight="1">
      <c r="A22" s="50"/>
      <c r="B22" s="383"/>
      <c r="C22" s="48" t="s">
        <v>18</v>
      </c>
      <c r="D22" s="2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9"/>
    </row>
    <row r="23" spans="1:16" s="60" customFormat="1" ht="19.5" customHeight="1">
      <c r="A23" s="57"/>
      <c r="B23" s="388" t="s">
        <v>114</v>
      </c>
      <c r="C23" s="62" t="s">
        <v>16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5"/>
    </row>
    <row r="24" spans="1:16" s="60" customFormat="1" ht="19.5" customHeight="1">
      <c r="A24" s="90"/>
      <c r="B24" s="389"/>
      <c r="C24" s="91" t="s">
        <v>18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92"/>
    </row>
    <row r="25" spans="1:16" ht="19.5" customHeight="1">
      <c r="A25" s="44" t="s">
        <v>0</v>
      </c>
      <c r="B25" s="382" t="s">
        <v>33</v>
      </c>
      <c r="C25" s="54" t="s">
        <v>16</v>
      </c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8"/>
    </row>
    <row r="26" spans="1:16" ht="19.5" customHeight="1">
      <c r="A26" s="44" t="s">
        <v>34</v>
      </c>
      <c r="B26" s="383"/>
      <c r="C26" s="48" t="s">
        <v>18</v>
      </c>
      <c r="D26" s="2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9"/>
    </row>
    <row r="27" spans="1:16" ht="19.5" customHeight="1">
      <c r="A27" s="44" t="s">
        <v>35</v>
      </c>
      <c r="B27" s="47" t="s">
        <v>20</v>
      </c>
      <c r="C27" s="54" t="s">
        <v>16</v>
      </c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8"/>
    </row>
    <row r="28" spans="1:16" ht="19.5" customHeight="1">
      <c r="A28" s="44" t="s">
        <v>36</v>
      </c>
      <c r="B28" s="48" t="s">
        <v>110</v>
      </c>
      <c r="C28" s="48" t="s">
        <v>18</v>
      </c>
      <c r="D28" s="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9"/>
    </row>
    <row r="29" spans="1:16" s="60" customFormat="1" ht="19.5" customHeight="1">
      <c r="A29" s="89" t="s">
        <v>23</v>
      </c>
      <c r="B29" s="388" t="s">
        <v>114</v>
      </c>
      <c r="C29" s="62" t="s">
        <v>16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15"/>
    </row>
    <row r="30" spans="1:16" s="60" customFormat="1" ht="19.5" customHeight="1">
      <c r="A30" s="90"/>
      <c r="B30" s="389"/>
      <c r="C30" s="91" t="s">
        <v>18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92"/>
    </row>
    <row r="31" spans="1:16" ht="19.5" customHeight="1">
      <c r="A31" s="44" t="s">
        <v>0</v>
      </c>
      <c r="B31" s="382" t="s">
        <v>37</v>
      </c>
      <c r="C31" s="54" t="s">
        <v>16</v>
      </c>
      <c r="D31" s="1"/>
      <c r="E31" s="5">
        <v>0.005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8">
        <f>SUM(D31:O31)</f>
        <v>0.005</v>
      </c>
    </row>
    <row r="32" spans="1:16" ht="19.5" customHeight="1">
      <c r="A32" s="44" t="s">
        <v>38</v>
      </c>
      <c r="B32" s="383"/>
      <c r="C32" s="48" t="s">
        <v>18</v>
      </c>
      <c r="D32" s="2"/>
      <c r="E32" s="34">
        <f>1.5*1.08</f>
        <v>1.62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9">
        <f>SUM(D32:O32)</f>
        <v>1.62</v>
      </c>
    </row>
    <row r="33" spans="1:16" ht="19.5" customHeight="1">
      <c r="A33" s="44" t="s">
        <v>0</v>
      </c>
      <c r="B33" s="382" t="s">
        <v>39</v>
      </c>
      <c r="C33" s="54" t="s">
        <v>16</v>
      </c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8"/>
    </row>
    <row r="34" spans="1:16" ht="19.5" customHeight="1">
      <c r="A34" s="44" t="s">
        <v>40</v>
      </c>
      <c r="B34" s="383"/>
      <c r="C34" s="48" t="s">
        <v>18</v>
      </c>
      <c r="D34" s="2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9"/>
    </row>
    <row r="35" spans="1:16" ht="19.5" customHeight="1">
      <c r="A35" s="50"/>
      <c r="B35" s="47" t="s">
        <v>20</v>
      </c>
      <c r="C35" s="54" t="s">
        <v>16</v>
      </c>
      <c r="D35" s="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"/>
    </row>
    <row r="36" spans="1:16" ht="19.5" customHeight="1">
      <c r="A36" s="44" t="s">
        <v>23</v>
      </c>
      <c r="B36" s="48" t="s">
        <v>111</v>
      </c>
      <c r="C36" s="48" t="s">
        <v>18</v>
      </c>
      <c r="D36" s="2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9"/>
    </row>
    <row r="37" spans="1:16" s="60" customFormat="1" ht="19.5" customHeight="1">
      <c r="A37" s="57"/>
      <c r="B37" s="388" t="s">
        <v>114</v>
      </c>
      <c r="C37" s="62" t="s">
        <v>16</v>
      </c>
      <c r="D37" s="5"/>
      <c r="E37" s="5">
        <f>+E31+E33+E35</f>
        <v>0.005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15">
        <f>SUM(D37:O37)</f>
        <v>0.005</v>
      </c>
    </row>
    <row r="38" spans="1:16" s="60" customFormat="1" ht="19.5" customHeight="1">
      <c r="A38" s="90"/>
      <c r="B38" s="389"/>
      <c r="C38" s="91" t="s">
        <v>18</v>
      </c>
      <c r="D38" s="34"/>
      <c r="E38" s="34">
        <f>+E32+E34+E36</f>
        <v>1.62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92">
        <f>SUM(D38:O38)</f>
        <v>1.62</v>
      </c>
    </row>
    <row r="39" spans="1:16" ht="19.5" customHeight="1">
      <c r="A39" s="376" t="s">
        <v>41</v>
      </c>
      <c r="B39" s="377"/>
      <c r="C39" s="54" t="s">
        <v>16</v>
      </c>
      <c r="D39" s="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8"/>
    </row>
    <row r="40" spans="1:16" ht="19.5" customHeight="1">
      <c r="A40" s="378"/>
      <c r="B40" s="379"/>
      <c r="C40" s="48" t="s">
        <v>18</v>
      </c>
      <c r="D40" s="2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9"/>
    </row>
    <row r="41" spans="1:16" ht="19.5" customHeight="1">
      <c r="A41" s="376" t="s">
        <v>42</v>
      </c>
      <c r="B41" s="377"/>
      <c r="C41" s="54" t="s">
        <v>16</v>
      </c>
      <c r="D41" s="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8"/>
    </row>
    <row r="42" spans="1:16" ht="19.5" customHeight="1">
      <c r="A42" s="378"/>
      <c r="B42" s="379"/>
      <c r="C42" s="48" t="s">
        <v>18</v>
      </c>
      <c r="D42" s="2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9"/>
    </row>
    <row r="43" spans="1:16" ht="19.5" customHeight="1">
      <c r="A43" s="376" t="s">
        <v>43</v>
      </c>
      <c r="B43" s="377"/>
      <c r="C43" s="54" t="s">
        <v>16</v>
      </c>
      <c r="D43" s="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8"/>
    </row>
    <row r="44" spans="1:16" ht="19.5" customHeight="1">
      <c r="A44" s="378"/>
      <c r="B44" s="379"/>
      <c r="C44" s="48" t="s">
        <v>18</v>
      </c>
      <c r="D44" s="2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9"/>
    </row>
    <row r="45" spans="1:16" ht="19.5" customHeight="1">
      <c r="A45" s="376" t="s">
        <v>44</v>
      </c>
      <c r="B45" s="377"/>
      <c r="C45" s="54" t="s">
        <v>16</v>
      </c>
      <c r="D45" s="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8"/>
    </row>
    <row r="46" spans="1:16" ht="19.5" customHeight="1">
      <c r="A46" s="378"/>
      <c r="B46" s="379"/>
      <c r="C46" s="48" t="s">
        <v>18</v>
      </c>
      <c r="D46" s="2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9"/>
    </row>
    <row r="47" spans="1:16" ht="19.5" customHeight="1">
      <c r="A47" s="376" t="s">
        <v>45</v>
      </c>
      <c r="B47" s="377"/>
      <c r="C47" s="54" t="s">
        <v>16</v>
      </c>
      <c r="D47" s="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8"/>
    </row>
    <row r="48" spans="1:16" ht="19.5" customHeight="1">
      <c r="A48" s="378"/>
      <c r="B48" s="379"/>
      <c r="C48" s="48" t="s">
        <v>18</v>
      </c>
      <c r="D48" s="2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9"/>
    </row>
    <row r="49" spans="1:16" ht="19.5" customHeight="1">
      <c r="A49" s="376" t="s">
        <v>46</v>
      </c>
      <c r="B49" s="377"/>
      <c r="C49" s="54" t="s">
        <v>16</v>
      </c>
      <c r="D49" s="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8"/>
    </row>
    <row r="50" spans="1:16" ht="19.5" customHeight="1">
      <c r="A50" s="378"/>
      <c r="B50" s="379"/>
      <c r="C50" s="48" t="s">
        <v>18</v>
      </c>
      <c r="D50" s="2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9"/>
    </row>
    <row r="51" spans="1:16" ht="19.5" customHeight="1">
      <c r="A51" s="376" t="s">
        <v>47</v>
      </c>
      <c r="B51" s="377"/>
      <c r="C51" s="54" t="s">
        <v>16</v>
      </c>
      <c r="D51" s="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8"/>
    </row>
    <row r="52" spans="1:16" ht="19.5" customHeight="1">
      <c r="A52" s="378"/>
      <c r="B52" s="379"/>
      <c r="C52" s="48" t="s">
        <v>18</v>
      </c>
      <c r="D52" s="2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9"/>
    </row>
    <row r="53" spans="1:16" ht="19.5" customHeight="1">
      <c r="A53" s="376" t="s">
        <v>48</v>
      </c>
      <c r="B53" s="377"/>
      <c r="C53" s="54" t="s">
        <v>16</v>
      </c>
      <c r="D53" s="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8"/>
    </row>
    <row r="54" spans="1:16" ht="19.5" customHeight="1">
      <c r="A54" s="378"/>
      <c r="B54" s="379"/>
      <c r="C54" s="48" t="s">
        <v>18</v>
      </c>
      <c r="D54" s="2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9"/>
    </row>
    <row r="55" spans="1:16" ht="19.5" customHeight="1">
      <c r="A55" s="44" t="s">
        <v>0</v>
      </c>
      <c r="B55" s="382" t="s">
        <v>132</v>
      </c>
      <c r="C55" s="54" t="s">
        <v>16</v>
      </c>
      <c r="D55" s="1"/>
      <c r="E55" s="5"/>
      <c r="F55" s="5"/>
      <c r="G55" s="5"/>
      <c r="H55" s="5"/>
      <c r="I55" s="5"/>
      <c r="J55" s="5">
        <v>0.005</v>
      </c>
      <c r="K55" s="5">
        <v>0.0035</v>
      </c>
      <c r="L55" s="5"/>
      <c r="M55" s="5"/>
      <c r="N55" s="5"/>
      <c r="O55" s="5"/>
      <c r="P55" s="8">
        <f aca="true" t="shared" si="0" ref="P55:P60">SUM(D55:O55)</f>
        <v>0.0085</v>
      </c>
    </row>
    <row r="56" spans="1:16" ht="19.5" customHeight="1">
      <c r="A56" s="44" t="s">
        <v>38</v>
      </c>
      <c r="B56" s="383"/>
      <c r="C56" s="48" t="s">
        <v>18</v>
      </c>
      <c r="D56" s="2"/>
      <c r="E56" s="34"/>
      <c r="F56" s="34"/>
      <c r="G56" s="34"/>
      <c r="H56" s="34"/>
      <c r="I56" s="34"/>
      <c r="J56" s="34">
        <f>3.5*1.08</f>
        <v>3.7800000000000002</v>
      </c>
      <c r="K56" s="34">
        <f>3.85*1.08</f>
        <v>4.158</v>
      </c>
      <c r="L56" s="34"/>
      <c r="M56" s="34"/>
      <c r="N56" s="34"/>
      <c r="O56" s="34"/>
      <c r="P56" s="9">
        <f t="shared" si="0"/>
        <v>7.938000000000001</v>
      </c>
    </row>
    <row r="57" spans="1:16" ht="19.5" customHeight="1">
      <c r="A57" s="44" t="s">
        <v>17</v>
      </c>
      <c r="B57" s="47" t="s">
        <v>20</v>
      </c>
      <c r="C57" s="54" t="s">
        <v>16</v>
      </c>
      <c r="D57" s="1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8"/>
    </row>
    <row r="58" spans="1:16" ht="19.5" customHeight="1">
      <c r="A58" s="44" t="s">
        <v>23</v>
      </c>
      <c r="B58" s="48" t="s">
        <v>151</v>
      </c>
      <c r="C58" s="48" t="s">
        <v>18</v>
      </c>
      <c r="D58" s="2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9"/>
    </row>
    <row r="59" spans="1:16" s="60" customFormat="1" ht="19.5" customHeight="1">
      <c r="A59" s="57"/>
      <c r="B59" s="388" t="s">
        <v>107</v>
      </c>
      <c r="C59" s="62" t="s">
        <v>16</v>
      </c>
      <c r="D59" s="5"/>
      <c r="E59" s="5"/>
      <c r="F59" s="5"/>
      <c r="G59" s="5"/>
      <c r="H59" s="5"/>
      <c r="I59" s="5"/>
      <c r="J59" s="5">
        <f>+J55+J57</f>
        <v>0.005</v>
      </c>
      <c r="K59" s="5">
        <f>+K55+K57</f>
        <v>0.0035</v>
      </c>
      <c r="L59" s="5"/>
      <c r="M59" s="5"/>
      <c r="N59" s="5"/>
      <c r="O59" s="5"/>
      <c r="P59" s="15">
        <f t="shared" si="0"/>
        <v>0.0085</v>
      </c>
    </row>
    <row r="60" spans="1:16" s="60" customFormat="1" ht="19.5" customHeight="1">
      <c r="A60" s="90"/>
      <c r="B60" s="389"/>
      <c r="C60" s="91" t="s">
        <v>18</v>
      </c>
      <c r="D60" s="34"/>
      <c r="E60" s="34"/>
      <c r="F60" s="34"/>
      <c r="G60" s="34"/>
      <c r="H60" s="34"/>
      <c r="I60" s="34"/>
      <c r="J60" s="34">
        <f>+J56+J58</f>
        <v>3.7800000000000002</v>
      </c>
      <c r="K60" s="34">
        <f>+K56+K58</f>
        <v>4.158</v>
      </c>
      <c r="L60" s="34"/>
      <c r="M60" s="34"/>
      <c r="N60" s="34"/>
      <c r="O60" s="34"/>
      <c r="P60" s="92">
        <f t="shared" si="0"/>
        <v>7.938000000000001</v>
      </c>
    </row>
    <row r="61" spans="1:16" ht="19.5" customHeight="1">
      <c r="A61" s="44" t="s">
        <v>0</v>
      </c>
      <c r="B61" s="382" t="s">
        <v>115</v>
      </c>
      <c r="C61" s="54" t="s">
        <v>16</v>
      </c>
      <c r="D61" s="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8"/>
    </row>
    <row r="62" spans="1:16" ht="19.5" customHeight="1">
      <c r="A62" s="44" t="s">
        <v>49</v>
      </c>
      <c r="B62" s="383"/>
      <c r="C62" s="48" t="s">
        <v>18</v>
      </c>
      <c r="D62" s="2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9"/>
    </row>
    <row r="63" spans="1:16" ht="19.5" customHeight="1">
      <c r="A63" s="44" t="s">
        <v>0</v>
      </c>
      <c r="B63" s="47" t="s">
        <v>50</v>
      </c>
      <c r="C63" s="54" t="s">
        <v>16</v>
      </c>
      <c r="D63" s="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8"/>
    </row>
    <row r="64" spans="1:16" ht="19.5" customHeight="1">
      <c r="A64" s="44" t="s">
        <v>51</v>
      </c>
      <c r="B64" s="48" t="s">
        <v>52</v>
      </c>
      <c r="C64" s="48" t="s">
        <v>18</v>
      </c>
      <c r="D64" s="2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9"/>
    </row>
    <row r="65" spans="1:16" ht="19.5" customHeight="1">
      <c r="A65" s="44" t="s">
        <v>0</v>
      </c>
      <c r="B65" s="382" t="s">
        <v>53</v>
      </c>
      <c r="C65" s="54" t="s">
        <v>16</v>
      </c>
      <c r="D65" s="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8"/>
    </row>
    <row r="66" spans="1:16" ht="19.5" customHeight="1">
      <c r="A66" s="44" t="s">
        <v>23</v>
      </c>
      <c r="B66" s="383"/>
      <c r="C66" s="48" t="s">
        <v>18</v>
      </c>
      <c r="D66" s="2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9"/>
    </row>
    <row r="67" spans="1:16" ht="19.5" customHeight="1">
      <c r="A67" s="50"/>
      <c r="B67" s="47" t="s">
        <v>20</v>
      </c>
      <c r="C67" s="54"/>
      <c r="D67" s="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8"/>
    </row>
    <row r="68" spans="1:16" ht="19.5" customHeight="1" thickBot="1">
      <c r="A68" s="51" t="s">
        <v>0</v>
      </c>
      <c r="B68" s="52" t="s">
        <v>116</v>
      </c>
      <c r="C68" s="52"/>
      <c r="D68" s="1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0"/>
    </row>
    <row r="69" spans="4:16" ht="19.5" customHeight="1">
      <c r="D69" s="68"/>
      <c r="P69" s="11"/>
    </row>
    <row r="70" spans="4:16" ht="19.5" customHeight="1">
      <c r="D70" s="68"/>
      <c r="P70" s="11"/>
    </row>
    <row r="71" spans="4:16" ht="19.5" customHeight="1">
      <c r="D71" s="68"/>
      <c r="P71" s="11"/>
    </row>
    <row r="72" spans="4:16" ht="19.5" customHeight="1">
      <c r="D72" s="68"/>
      <c r="P72" s="11"/>
    </row>
    <row r="73" spans="4:16" ht="19.5" customHeight="1">
      <c r="D73" s="68"/>
      <c r="P73" s="11"/>
    </row>
    <row r="74" spans="1:16" ht="19.5" customHeight="1" thickBot="1">
      <c r="A74" s="12" t="s">
        <v>221</v>
      </c>
      <c r="B74" s="39"/>
      <c r="C74" s="12"/>
      <c r="D74" s="12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12"/>
    </row>
    <row r="75" spans="1:16" ht="19.5" customHeight="1">
      <c r="A75" s="49"/>
      <c r="B75" s="53"/>
      <c r="C75" s="53"/>
      <c r="D75" s="42" t="s">
        <v>2</v>
      </c>
      <c r="E75" s="82" t="s">
        <v>3</v>
      </c>
      <c r="F75" s="82" t="s">
        <v>4</v>
      </c>
      <c r="G75" s="82" t="s">
        <v>5</v>
      </c>
      <c r="H75" s="82" t="s">
        <v>6</v>
      </c>
      <c r="I75" s="82" t="s">
        <v>7</v>
      </c>
      <c r="J75" s="82" t="s">
        <v>8</v>
      </c>
      <c r="K75" s="82" t="s">
        <v>9</v>
      </c>
      <c r="L75" s="82" t="s">
        <v>10</v>
      </c>
      <c r="M75" s="82" t="s">
        <v>11</v>
      </c>
      <c r="N75" s="82" t="s">
        <v>12</v>
      </c>
      <c r="O75" s="82" t="s">
        <v>13</v>
      </c>
      <c r="P75" s="43" t="s">
        <v>14</v>
      </c>
    </row>
    <row r="76" spans="1:16" ht="19.5" customHeight="1">
      <c r="A76" s="44" t="s">
        <v>49</v>
      </c>
      <c r="B76" s="380" t="s">
        <v>117</v>
      </c>
      <c r="C76" s="54" t="s">
        <v>16</v>
      </c>
      <c r="D76" s="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8"/>
    </row>
    <row r="77" spans="1:16" ht="19.5" customHeight="1">
      <c r="A77" s="69" t="s">
        <v>51</v>
      </c>
      <c r="B77" s="381"/>
      <c r="C77" s="48" t="s">
        <v>18</v>
      </c>
      <c r="D77" s="2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9"/>
    </row>
    <row r="78" spans="1:16" ht="19.5" customHeight="1">
      <c r="A78" s="44" t="s">
        <v>0</v>
      </c>
      <c r="B78" s="382" t="s">
        <v>54</v>
      </c>
      <c r="C78" s="54" t="s">
        <v>16</v>
      </c>
      <c r="D78" s="1">
        <v>0.0345</v>
      </c>
      <c r="E78" s="5">
        <v>0.0105</v>
      </c>
      <c r="F78" s="5">
        <v>0.0095</v>
      </c>
      <c r="G78" s="5">
        <v>0.0398</v>
      </c>
      <c r="H78" s="5">
        <v>0.027</v>
      </c>
      <c r="I78" s="5"/>
      <c r="J78" s="5">
        <v>0.1595</v>
      </c>
      <c r="K78" s="5">
        <v>0.051</v>
      </c>
      <c r="L78" s="5">
        <v>0.0721</v>
      </c>
      <c r="M78" s="5">
        <v>0.3624</v>
      </c>
      <c r="N78" s="5">
        <v>0.2065</v>
      </c>
      <c r="O78" s="5">
        <v>0.1199</v>
      </c>
      <c r="P78" s="8">
        <f>SUM(D78:O78)</f>
        <v>1.0927</v>
      </c>
    </row>
    <row r="79" spans="1:16" ht="19.5" customHeight="1">
      <c r="A79" s="44" t="s">
        <v>34</v>
      </c>
      <c r="B79" s="383"/>
      <c r="C79" s="48" t="s">
        <v>18</v>
      </c>
      <c r="D79" s="2">
        <f>25.87*1.08</f>
        <v>27.939600000000002</v>
      </c>
      <c r="E79" s="34">
        <f>7.55*1.08</f>
        <v>8.154</v>
      </c>
      <c r="F79" s="34">
        <f>7.72*1.08</f>
        <v>8.3376</v>
      </c>
      <c r="G79" s="34">
        <f>28.085*1.08</f>
        <v>30.3318</v>
      </c>
      <c r="H79" s="34">
        <f>17.408*1.08</f>
        <v>18.80064</v>
      </c>
      <c r="I79" s="34"/>
      <c r="J79" s="34">
        <f>95.7*1.08</f>
        <v>103.35600000000001</v>
      </c>
      <c r="K79" s="34">
        <f>45.8*1.08</f>
        <v>49.464</v>
      </c>
      <c r="L79" s="34">
        <f>33.673*1.08</f>
        <v>36.36684</v>
      </c>
      <c r="M79" s="34">
        <f>165.888*1.08</f>
        <v>179.15904</v>
      </c>
      <c r="N79" s="34">
        <f>90.629*1.08</f>
        <v>97.87932</v>
      </c>
      <c r="O79" s="34">
        <f>63.862*1.08</f>
        <v>68.97096</v>
      </c>
      <c r="P79" s="9">
        <f>SUM(D79:O79)</f>
        <v>628.7598</v>
      </c>
    </row>
    <row r="80" spans="1:16" ht="19.5" customHeight="1">
      <c r="A80" s="44" t="s">
        <v>0</v>
      </c>
      <c r="B80" s="382" t="s">
        <v>55</v>
      </c>
      <c r="C80" s="54" t="s">
        <v>16</v>
      </c>
      <c r="D80" s="1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8"/>
    </row>
    <row r="81" spans="1:16" ht="19.5" customHeight="1">
      <c r="A81" s="44" t="s">
        <v>0</v>
      </c>
      <c r="B81" s="383"/>
      <c r="C81" s="48" t="s">
        <v>18</v>
      </c>
      <c r="D81" s="2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9"/>
    </row>
    <row r="82" spans="1:16" ht="19.5" customHeight="1">
      <c r="A82" s="44" t="s">
        <v>56</v>
      </c>
      <c r="B82" s="47" t="s">
        <v>57</v>
      </c>
      <c r="C82" s="54" t="s">
        <v>16</v>
      </c>
      <c r="D82" s="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8"/>
    </row>
    <row r="83" spans="1:16" ht="19.5" customHeight="1">
      <c r="A83" s="50"/>
      <c r="B83" s="48" t="s">
        <v>58</v>
      </c>
      <c r="C83" s="48" t="s">
        <v>18</v>
      </c>
      <c r="D83" s="2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9"/>
    </row>
    <row r="84" spans="1:16" ht="19.5" customHeight="1">
      <c r="A84" s="50"/>
      <c r="B84" s="382" t="s">
        <v>59</v>
      </c>
      <c r="C84" s="54" t="s">
        <v>16</v>
      </c>
      <c r="D84" s="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8"/>
    </row>
    <row r="85" spans="1:16" ht="19.5" customHeight="1">
      <c r="A85" s="44" t="s">
        <v>17</v>
      </c>
      <c r="B85" s="383"/>
      <c r="C85" s="48" t="s">
        <v>18</v>
      </c>
      <c r="D85" s="2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9"/>
    </row>
    <row r="86" spans="1:16" ht="19.5" customHeight="1">
      <c r="A86" s="50"/>
      <c r="B86" s="47" t="s">
        <v>20</v>
      </c>
      <c r="C86" s="54" t="s">
        <v>16</v>
      </c>
      <c r="D86" s="1">
        <v>0.007</v>
      </c>
      <c r="E86" s="5"/>
      <c r="F86" s="5">
        <v>0.0028</v>
      </c>
      <c r="G86" s="5">
        <v>0.007</v>
      </c>
      <c r="H86" s="5">
        <v>0.0034</v>
      </c>
      <c r="I86" s="5">
        <v>2.0031</v>
      </c>
      <c r="J86" s="5">
        <v>0.018</v>
      </c>
      <c r="K86" s="5">
        <v>0.0319</v>
      </c>
      <c r="L86" s="5"/>
      <c r="M86" s="5"/>
      <c r="N86" s="5">
        <v>0.0405</v>
      </c>
      <c r="O86" s="5">
        <v>0.0571</v>
      </c>
      <c r="P86" s="8">
        <f>SUM(D86:O86)</f>
        <v>2.1708</v>
      </c>
    </row>
    <row r="87" spans="1:16" ht="19.5" customHeight="1">
      <c r="A87" s="50"/>
      <c r="B87" s="48" t="s">
        <v>60</v>
      </c>
      <c r="C87" s="48" t="s">
        <v>18</v>
      </c>
      <c r="D87" s="2">
        <f>1.4*1.08</f>
        <v>1.512</v>
      </c>
      <c r="E87" s="34"/>
      <c r="F87" s="34">
        <f>0.84*1.08</f>
        <v>0.9072</v>
      </c>
      <c r="G87" s="34">
        <f>2.1*1.08</f>
        <v>2.2680000000000002</v>
      </c>
      <c r="H87" s="34">
        <f>1.02*1.08</f>
        <v>1.1016000000000001</v>
      </c>
      <c r="I87" s="34">
        <f>714.506*1.08</f>
        <v>771.66648</v>
      </c>
      <c r="J87" s="34">
        <f>6.75*1.08</f>
        <v>7.290000000000001</v>
      </c>
      <c r="K87" s="34">
        <f>42.01*1.08</f>
        <v>45.3708</v>
      </c>
      <c r="L87" s="34"/>
      <c r="M87" s="34"/>
      <c r="N87" s="34">
        <f>9.23*1.08</f>
        <v>9.9684</v>
      </c>
      <c r="O87" s="34">
        <f>27.317*1.08</f>
        <v>29.502360000000003</v>
      </c>
      <c r="P87" s="9">
        <f>SUM(D87:O87)</f>
        <v>869.5868399999999</v>
      </c>
    </row>
    <row r="88" spans="1:16" s="60" customFormat="1" ht="19.5" customHeight="1">
      <c r="A88" s="89" t="s">
        <v>23</v>
      </c>
      <c r="B88" s="388" t="s">
        <v>107</v>
      </c>
      <c r="C88" s="62" t="s">
        <v>16</v>
      </c>
      <c r="D88" s="5">
        <f>+D78+D80+D82+D84+D86</f>
        <v>0.0415</v>
      </c>
      <c r="E88" s="5">
        <f aca="true" t="shared" si="1" ref="E88:J89">+E78+E80+E82+E84+E86</f>
        <v>0.0105</v>
      </c>
      <c r="F88" s="5">
        <f t="shared" si="1"/>
        <v>0.0123</v>
      </c>
      <c r="G88" s="5">
        <f t="shared" si="1"/>
        <v>0.0468</v>
      </c>
      <c r="H88" s="5">
        <f t="shared" si="1"/>
        <v>0.0304</v>
      </c>
      <c r="I88" s="5">
        <f t="shared" si="1"/>
        <v>2.0031</v>
      </c>
      <c r="J88" s="5">
        <f t="shared" si="1"/>
        <v>0.1775</v>
      </c>
      <c r="K88" s="5">
        <f>+K78+K80+K82+K84+K86</f>
        <v>0.0829</v>
      </c>
      <c r="L88" s="5">
        <f aca="true" t="shared" si="2" ref="L88:N89">+L78+L80+L82+L84+L86</f>
        <v>0.0721</v>
      </c>
      <c r="M88" s="5">
        <f t="shared" si="2"/>
        <v>0.3624</v>
      </c>
      <c r="N88" s="5">
        <f t="shared" si="2"/>
        <v>0.247</v>
      </c>
      <c r="O88" s="5">
        <f>+O78+O80+O82+O84+O86</f>
        <v>0.177</v>
      </c>
      <c r="P88" s="15">
        <f>SUM(D88:O88)</f>
        <v>3.2634999999999996</v>
      </c>
    </row>
    <row r="89" spans="1:16" s="60" customFormat="1" ht="19.5" customHeight="1">
      <c r="A89" s="90"/>
      <c r="B89" s="389"/>
      <c r="C89" s="91" t="s">
        <v>18</v>
      </c>
      <c r="D89" s="34">
        <f>+D79+D81+D83+D85+D87</f>
        <v>29.451600000000003</v>
      </c>
      <c r="E89" s="34">
        <f t="shared" si="1"/>
        <v>8.154</v>
      </c>
      <c r="F89" s="34">
        <f t="shared" si="1"/>
        <v>9.2448</v>
      </c>
      <c r="G89" s="34">
        <f t="shared" si="1"/>
        <v>32.5998</v>
      </c>
      <c r="H89" s="34">
        <f t="shared" si="1"/>
        <v>19.902240000000003</v>
      </c>
      <c r="I89" s="34">
        <f t="shared" si="1"/>
        <v>771.66648</v>
      </c>
      <c r="J89" s="34">
        <f t="shared" si="1"/>
        <v>110.64600000000002</v>
      </c>
      <c r="K89" s="34">
        <f>+K79+K81+K83+K85+K87</f>
        <v>94.8348</v>
      </c>
      <c r="L89" s="34">
        <f t="shared" si="2"/>
        <v>36.36684</v>
      </c>
      <c r="M89" s="34">
        <f t="shared" si="2"/>
        <v>179.15904</v>
      </c>
      <c r="N89" s="34">
        <f t="shared" si="2"/>
        <v>107.84772000000001</v>
      </c>
      <c r="O89" s="34">
        <f>+O79+O81+O83+O85+O87</f>
        <v>98.47332</v>
      </c>
      <c r="P89" s="92">
        <f>SUM(D89:O89)</f>
        <v>1498.34664</v>
      </c>
    </row>
    <row r="90" spans="1:16" ht="19.5" customHeight="1">
      <c r="A90" s="376" t="s">
        <v>152</v>
      </c>
      <c r="B90" s="377"/>
      <c r="C90" s="54" t="s">
        <v>16</v>
      </c>
      <c r="D90" s="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8"/>
    </row>
    <row r="91" spans="1:16" ht="19.5" customHeight="1">
      <c r="A91" s="378"/>
      <c r="B91" s="379"/>
      <c r="C91" s="48" t="s">
        <v>18</v>
      </c>
      <c r="D91" s="2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9"/>
    </row>
    <row r="92" spans="1:16" ht="19.5" customHeight="1">
      <c r="A92" s="376" t="s">
        <v>61</v>
      </c>
      <c r="B92" s="377"/>
      <c r="C92" s="54" t="s">
        <v>16</v>
      </c>
      <c r="D92" s="1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8"/>
    </row>
    <row r="93" spans="1:16" ht="19.5" customHeight="1">
      <c r="A93" s="378"/>
      <c r="B93" s="379"/>
      <c r="C93" s="48" t="s">
        <v>18</v>
      </c>
      <c r="D93" s="2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9"/>
    </row>
    <row r="94" spans="1:16" ht="19.5" customHeight="1">
      <c r="A94" s="376" t="s">
        <v>119</v>
      </c>
      <c r="B94" s="377"/>
      <c r="C94" s="54" t="s">
        <v>16</v>
      </c>
      <c r="D94" s="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8"/>
    </row>
    <row r="95" spans="1:16" ht="19.5" customHeight="1">
      <c r="A95" s="378"/>
      <c r="B95" s="379"/>
      <c r="C95" s="48" t="s">
        <v>18</v>
      </c>
      <c r="D95" s="2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9"/>
    </row>
    <row r="96" spans="1:16" ht="19.5" customHeight="1">
      <c r="A96" s="376" t="s">
        <v>120</v>
      </c>
      <c r="B96" s="377"/>
      <c r="C96" s="54" t="s">
        <v>16</v>
      </c>
      <c r="D96" s="1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8"/>
    </row>
    <row r="97" spans="1:16" ht="19.5" customHeight="1">
      <c r="A97" s="378"/>
      <c r="B97" s="379"/>
      <c r="C97" s="48" t="s">
        <v>18</v>
      </c>
      <c r="D97" s="2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9"/>
    </row>
    <row r="98" spans="1:16" ht="19.5" customHeight="1">
      <c r="A98" s="376" t="s">
        <v>63</v>
      </c>
      <c r="B98" s="377"/>
      <c r="C98" s="54" t="s">
        <v>16</v>
      </c>
      <c r="D98" s="1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8"/>
    </row>
    <row r="99" spans="1:16" ht="19.5" customHeight="1">
      <c r="A99" s="378"/>
      <c r="B99" s="379"/>
      <c r="C99" s="48" t="s">
        <v>18</v>
      </c>
      <c r="D99" s="2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9"/>
    </row>
    <row r="100" spans="1:16" ht="19.5" customHeight="1">
      <c r="A100" s="376" t="s">
        <v>121</v>
      </c>
      <c r="B100" s="377"/>
      <c r="C100" s="54" t="s">
        <v>16</v>
      </c>
      <c r="D100" s="1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8"/>
    </row>
    <row r="101" spans="1:16" ht="19.5" customHeight="1">
      <c r="A101" s="378"/>
      <c r="B101" s="379"/>
      <c r="C101" s="48" t="s">
        <v>18</v>
      </c>
      <c r="D101" s="2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9"/>
    </row>
    <row r="102" spans="1:16" ht="19.5" customHeight="1">
      <c r="A102" s="376" t="s">
        <v>64</v>
      </c>
      <c r="B102" s="377"/>
      <c r="C102" s="54" t="s">
        <v>16</v>
      </c>
      <c r="D102" s="1">
        <v>0.1885</v>
      </c>
      <c r="E102" s="5">
        <v>0.5449</v>
      </c>
      <c r="F102" s="5">
        <v>0.5567</v>
      </c>
      <c r="G102" s="5">
        <v>1.5399</v>
      </c>
      <c r="H102" s="5">
        <v>0.2347</v>
      </c>
      <c r="I102" s="5"/>
      <c r="J102" s="5"/>
      <c r="K102" s="5"/>
      <c r="L102" s="5">
        <v>0.3878</v>
      </c>
      <c r="M102" s="5">
        <v>0.7138</v>
      </c>
      <c r="N102" s="5">
        <v>0.4285</v>
      </c>
      <c r="O102" s="5">
        <v>0.4467</v>
      </c>
      <c r="P102" s="8">
        <f>SUM(D102:O102)</f>
        <v>5.041499999999999</v>
      </c>
    </row>
    <row r="103" spans="1:16" ht="19.5" customHeight="1">
      <c r="A103" s="378"/>
      <c r="B103" s="379"/>
      <c r="C103" s="48" t="s">
        <v>18</v>
      </c>
      <c r="D103" s="2">
        <f>27.717*1.08</f>
        <v>29.93436</v>
      </c>
      <c r="E103" s="34">
        <f>81.554*1.08</f>
        <v>88.07832</v>
      </c>
      <c r="F103" s="34">
        <f>235.989*1.08</f>
        <v>254.86812000000003</v>
      </c>
      <c r="G103" s="34">
        <f>860.387*1.08</f>
        <v>929.21796</v>
      </c>
      <c r="H103" s="34">
        <f>31.181*1.08</f>
        <v>33.67548</v>
      </c>
      <c r="I103" s="34"/>
      <c r="J103" s="34"/>
      <c r="K103" s="34"/>
      <c r="L103" s="34">
        <f>68.254*1.08</f>
        <v>73.71432000000001</v>
      </c>
      <c r="M103" s="34">
        <f>180.921*1.08</f>
        <v>195.39468</v>
      </c>
      <c r="N103" s="34">
        <f>84.583*1.08</f>
        <v>91.34964000000001</v>
      </c>
      <c r="O103" s="34">
        <f>123.942*1.08</f>
        <v>133.85736</v>
      </c>
      <c r="P103" s="9">
        <f>SUM(D103:O103)</f>
        <v>1830.09024</v>
      </c>
    </row>
    <row r="104" spans="1:16" s="60" customFormat="1" ht="19.5" customHeight="1">
      <c r="A104" s="390" t="s">
        <v>65</v>
      </c>
      <c r="B104" s="391"/>
      <c r="C104" s="62" t="s">
        <v>16</v>
      </c>
      <c r="D104" s="5">
        <f aca="true" t="shared" si="3" ref="D104:O104">+D9+D11+D23+D29+D37+D39+D41+D43+D45+D47+D49+D51+D53+D59+D76+D88+D90+D92+D94+D96+D98+D100+D102</f>
        <v>0.23</v>
      </c>
      <c r="E104" s="5">
        <f t="shared" si="3"/>
        <v>0.5604</v>
      </c>
      <c r="F104" s="5">
        <f t="shared" si="3"/>
        <v>0.569</v>
      </c>
      <c r="G104" s="5">
        <f t="shared" si="3"/>
        <v>1.5867</v>
      </c>
      <c r="H104" s="5">
        <f t="shared" si="3"/>
        <v>0.2651</v>
      </c>
      <c r="I104" s="5">
        <f t="shared" si="3"/>
        <v>2.0031</v>
      </c>
      <c r="J104" s="5">
        <f t="shared" si="3"/>
        <v>0.1825</v>
      </c>
      <c r="K104" s="5">
        <f t="shared" si="3"/>
        <v>0.0864</v>
      </c>
      <c r="L104" s="5">
        <f t="shared" si="3"/>
        <v>0.4599</v>
      </c>
      <c r="M104" s="5">
        <f t="shared" si="3"/>
        <v>1.0762</v>
      </c>
      <c r="N104" s="5">
        <f t="shared" si="3"/>
        <v>0.6755</v>
      </c>
      <c r="O104" s="5">
        <f t="shared" si="3"/>
        <v>0.6236999999999999</v>
      </c>
      <c r="P104" s="15">
        <f>SUM(D104:O104)</f>
        <v>8.3185</v>
      </c>
    </row>
    <row r="105" spans="1:16" s="60" customFormat="1" ht="19.5" customHeight="1">
      <c r="A105" s="392"/>
      <c r="B105" s="393"/>
      <c r="C105" s="91" t="s">
        <v>18</v>
      </c>
      <c r="D105" s="34">
        <f aca="true" t="shared" si="4" ref="D105:O105">+D10+D12+D24+D30+D38+D40+D42+D44+D46+D48+D50+D52+D54+D60+D77+D89+D91+D93+D95+D97+D99+D101+D103</f>
        <v>59.385960000000004</v>
      </c>
      <c r="E105" s="34">
        <f t="shared" si="4"/>
        <v>97.85232</v>
      </c>
      <c r="F105" s="34">
        <f t="shared" si="4"/>
        <v>264.11292000000003</v>
      </c>
      <c r="G105" s="34">
        <f t="shared" si="4"/>
        <v>961.8177599999999</v>
      </c>
      <c r="H105" s="34">
        <f t="shared" si="4"/>
        <v>53.57772</v>
      </c>
      <c r="I105" s="34">
        <f t="shared" si="4"/>
        <v>771.66648</v>
      </c>
      <c r="J105" s="34">
        <f t="shared" si="4"/>
        <v>114.42600000000002</v>
      </c>
      <c r="K105" s="34">
        <f t="shared" si="4"/>
        <v>98.9928</v>
      </c>
      <c r="L105" s="34">
        <f t="shared" si="4"/>
        <v>110.08116000000001</v>
      </c>
      <c r="M105" s="34">
        <f t="shared" si="4"/>
        <v>374.55372</v>
      </c>
      <c r="N105" s="34">
        <f t="shared" si="4"/>
        <v>199.19736</v>
      </c>
      <c r="O105" s="34">
        <f t="shared" si="4"/>
        <v>232.33068</v>
      </c>
      <c r="P105" s="92">
        <f>SUM(D105:O105)</f>
        <v>3337.99488</v>
      </c>
    </row>
    <row r="106" spans="1:16" ht="19.5" customHeight="1">
      <c r="A106" s="44" t="s">
        <v>0</v>
      </c>
      <c r="B106" s="382" t="s">
        <v>134</v>
      </c>
      <c r="C106" s="54" t="s">
        <v>16</v>
      </c>
      <c r="D106" s="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8"/>
    </row>
    <row r="107" spans="1:16" ht="19.5" customHeight="1">
      <c r="A107" s="44" t="s">
        <v>0</v>
      </c>
      <c r="B107" s="383"/>
      <c r="C107" s="48" t="s">
        <v>18</v>
      </c>
      <c r="D107" s="2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9"/>
    </row>
    <row r="108" spans="1:16" ht="19.5" customHeight="1">
      <c r="A108" s="44" t="s">
        <v>66</v>
      </c>
      <c r="B108" s="382" t="s">
        <v>123</v>
      </c>
      <c r="C108" s="54" t="s">
        <v>16</v>
      </c>
      <c r="D108" s="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8"/>
    </row>
    <row r="109" spans="1:16" ht="19.5" customHeight="1">
      <c r="A109" s="44" t="s">
        <v>0</v>
      </c>
      <c r="B109" s="383"/>
      <c r="C109" s="48" t="s">
        <v>18</v>
      </c>
      <c r="D109" s="2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9"/>
    </row>
    <row r="110" spans="1:16" ht="19.5" customHeight="1">
      <c r="A110" s="44" t="s">
        <v>0</v>
      </c>
      <c r="B110" s="382" t="s">
        <v>148</v>
      </c>
      <c r="C110" s="54" t="s">
        <v>16</v>
      </c>
      <c r="D110" s="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8"/>
    </row>
    <row r="111" spans="1:16" ht="19.5" customHeight="1">
      <c r="A111" s="50"/>
      <c r="B111" s="383"/>
      <c r="C111" s="48" t="s">
        <v>18</v>
      </c>
      <c r="D111" s="2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9"/>
    </row>
    <row r="112" spans="1:16" ht="19.5" customHeight="1">
      <c r="A112" s="44" t="s">
        <v>67</v>
      </c>
      <c r="B112" s="382" t="s">
        <v>149</v>
      </c>
      <c r="C112" s="54" t="s">
        <v>16</v>
      </c>
      <c r="D112" s="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>
        <v>0.0054</v>
      </c>
      <c r="P112" s="8">
        <f>SUM(D112:O112)</f>
        <v>0.0054</v>
      </c>
    </row>
    <row r="113" spans="1:16" ht="19.5" customHeight="1">
      <c r="A113" s="50"/>
      <c r="B113" s="383"/>
      <c r="C113" s="48" t="s">
        <v>18</v>
      </c>
      <c r="D113" s="2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>
        <f>3.366*1.08</f>
        <v>3.6352800000000003</v>
      </c>
      <c r="P113" s="9">
        <f>SUM(D113:O113)</f>
        <v>3.6352800000000003</v>
      </c>
    </row>
    <row r="114" spans="1:16" ht="19.5" customHeight="1">
      <c r="A114" s="50"/>
      <c r="B114" s="382" t="s">
        <v>150</v>
      </c>
      <c r="C114" s="54" t="s">
        <v>16</v>
      </c>
      <c r="D114" s="1">
        <v>0.0446</v>
      </c>
      <c r="E114" s="5">
        <v>0.033</v>
      </c>
      <c r="F114" s="5"/>
      <c r="G114" s="5"/>
      <c r="H114" s="5">
        <v>0.0635</v>
      </c>
      <c r="I114" s="5">
        <v>0.379</v>
      </c>
      <c r="J114" s="5">
        <v>0.184</v>
      </c>
      <c r="K114" s="5"/>
      <c r="L114" s="5">
        <v>0.4288</v>
      </c>
      <c r="M114" s="5">
        <v>1.308</v>
      </c>
      <c r="N114" s="5">
        <v>0.7312</v>
      </c>
      <c r="O114" s="5">
        <v>0.516</v>
      </c>
      <c r="P114" s="8">
        <f>SUM(D114:O114)</f>
        <v>3.6881</v>
      </c>
    </row>
    <row r="115" spans="1:16" ht="19.5" customHeight="1">
      <c r="A115" s="50"/>
      <c r="B115" s="383"/>
      <c r="C115" s="48" t="s">
        <v>18</v>
      </c>
      <c r="D115" s="2">
        <f>13.867*1.08</f>
        <v>14.976360000000001</v>
      </c>
      <c r="E115" s="34">
        <f>8.155*1.08</f>
        <v>8.8074</v>
      </c>
      <c r="F115" s="34"/>
      <c r="G115" s="34"/>
      <c r="H115" s="34">
        <f>31.509*1.08</f>
        <v>34.029720000000005</v>
      </c>
      <c r="I115" s="34">
        <f>136.61*1.08</f>
        <v>147.53880000000004</v>
      </c>
      <c r="J115" s="34">
        <f>50.8*1.08</f>
        <v>54.864</v>
      </c>
      <c r="K115" s="34"/>
      <c r="L115" s="34">
        <f>58.595*1.08</f>
        <v>63.2826</v>
      </c>
      <c r="M115" s="34">
        <f>191.411*1.08</f>
        <v>206.72388</v>
      </c>
      <c r="N115" s="34">
        <f>167.174*1.08</f>
        <v>180.54792</v>
      </c>
      <c r="O115" s="34">
        <f>241.933*1.08</f>
        <v>261.28764</v>
      </c>
      <c r="P115" s="9">
        <f>SUM(D115:O115)</f>
        <v>972.0583200000001</v>
      </c>
    </row>
    <row r="116" spans="1:16" ht="19.5" customHeight="1">
      <c r="A116" s="44" t="s">
        <v>68</v>
      </c>
      <c r="B116" s="382" t="s">
        <v>127</v>
      </c>
      <c r="C116" s="54" t="s">
        <v>16</v>
      </c>
      <c r="D116" s="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8"/>
    </row>
    <row r="117" spans="1:16" ht="19.5" customHeight="1">
      <c r="A117" s="50"/>
      <c r="B117" s="383"/>
      <c r="C117" s="48" t="s">
        <v>18</v>
      </c>
      <c r="D117" s="2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9"/>
    </row>
    <row r="118" spans="1:16" ht="19.5" customHeight="1">
      <c r="A118" s="50"/>
      <c r="B118" s="382" t="s">
        <v>128</v>
      </c>
      <c r="C118" s="54" t="s">
        <v>16</v>
      </c>
      <c r="D118" s="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8"/>
    </row>
    <row r="119" spans="1:16" ht="19.5" customHeight="1">
      <c r="A119" s="50"/>
      <c r="B119" s="383"/>
      <c r="C119" s="48" t="s">
        <v>18</v>
      </c>
      <c r="D119" s="2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9"/>
    </row>
    <row r="120" spans="1:16" ht="19.5" customHeight="1">
      <c r="A120" s="44" t="s">
        <v>70</v>
      </c>
      <c r="B120" s="382" t="s">
        <v>71</v>
      </c>
      <c r="C120" s="54" t="s">
        <v>16</v>
      </c>
      <c r="D120" s="1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8"/>
    </row>
    <row r="121" spans="1:16" ht="19.5" customHeight="1">
      <c r="A121" s="50"/>
      <c r="B121" s="383"/>
      <c r="C121" s="48" t="s">
        <v>18</v>
      </c>
      <c r="D121" s="2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9"/>
    </row>
    <row r="122" spans="1:16" ht="19.5" customHeight="1">
      <c r="A122" s="50"/>
      <c r="B122" s="382" t="s">
        <v>72</v>
      </c>
      <c r="C122" s="54" t="s">
        <v>16</v>
      </c>
      <c r="D122" s="1">
        <v>6.7517</v>
      </c>
      <c r="E122" s="5">
        <v>6.5272</v>
      </c>
      <c r="F122" s="5">
        <v>7.9046</v>
      </c>
      <c r="G122" s="5">
        <v>10.9577</v>
      </c>
      <c r="H122" s="5">
        <v>5.8882</v>
      </c>
      <c r="I122" s="5">
        <v>0.05</v>
      </c>
      <c r="J122" s="5"/>
      <c r="K122" s="5"/>
      <c r="L122" s="5">
        <v>10.9921</v>
      </c>
      <c r="M122" s="5">
        <v>13.0245</v>
      </c>
      <c r="N122" s="5">
        <v>8.3844</v>
      </c>
      <c r="O122" s="5">
        <v>8.4121</v>
      </c>
      <c r="P122" s="8">
        <f>SUM(D122:O122)</f>
        <v>78.8925</v>
      </c>
    </row>
    <row r="123" spans="1:16" ht="19.5" customHeight="1">
      <c r="A123" s="50"/>
      <c r="B123" s="383"/>
      <c r="C123" s="48" t="s">
        <v>18</v>
      </c>
      <c r="D123" s="2">
        <f>10012.056*1.08</f>
        <v>10813.020480000001</v>
      </c>
      <c r="E123" s="34">
        <f>10757.824*1.08</f>
        <v>11618.449920000001</v>
      </c>
      <c r="F123" s="34">
        <f>14445.884*1.08</f>
        <v>15601.554720000002</v>
      </c>
      <c r="G123" s="34">
        <f>17410.022*1.08</f>
        <v>18802.823760000003</v>
      </c>
      <c r="H123" s="34">
        <f>10281.873*1.08</f>
        <v>11104.422840000001</v>
      </c>
      <c r="I123" s="34">
        <f>16.69*1.08</f>
        <v>18.0252</v>
      </c>
      <c r="J123" s="34"/>
      <c r="K123" s="34"/>
      <c r="L123" s="34">
        <f>18389.137*1.08</f>
        <v>19860.26796</v>
      </c>
      <c r="M123" s="34">
        <f>22933.221*1.08</f>
        <v>24767.87868</v>
      </c>
      <c r="N123" s="34">
        <f>13719.575*1.08</f>
        <v>14817.141000000001</v>
      </c>
      <c r="O123" s="34">
        <f>16096.012*1.08</f>
        <v>17383.69296</v>
      </c>
      <c r="P123" s="9">
        <f>SUM(D123:O123)</f>
        <v>144787.27752</v>
      </c>
    </row>
    <row r="124" spans="1:16" ht="19.5" customHeight="1">
      <c r="A124" s="44" t="s">
        <v>23</v>
      </c>
      <c r="B124" s="382" t="s">
        <v>130</v>
      </c>
      <c r="C124" s="54" t="s">
        <v>16</v>
      </c>
      <c r="D124" s="1">
        <v>0.165</v>
      </c>
      <c r="E124" s="5">
        <v>0.3107</v>
      </c>
      <c r="F124" s="5">
        <v>0.003</v>
      </c>
      <c r="G124" s="5"/>
      <c r="H124" s="5">
        <v>0.0055</v>
      </c>
      <c r="I124" s="5"/>
      <c r="J124" s="5"/>
      <c r="K124" s="5"/>
      <c r="L124" s="5">
        <v>0.0375</v>
      </c>
      <c r="M124" s="5">
        <v>0.1696</v>
      </c>
      <c r="N124" s="5">
        <v>0.0419</v>
      </c>
      <c r="O124" s="5">
        <v>0.406</v>
      </c>
      <c r="P124" s="8">
        <f>SUM(D124:O124)</f>
        <v>1.1392000000000002</v>
      </c>
    </row>
    <row r="125" spans="1:16" ht="19.5" customHeight="1">
      <c r="A125" s="50"/>
      <c r="B125" s="383"/>
      <c r="C125" s="48" t="s">
        <v>18</v>
      </c>
      <c r="D125" s="2">
        <f>72.097*1.08</f>
        <v>77.86476</v>
      </c>
      <c r="E125" s="34">
        <f>119.825*1.08</f>
        <v>129.411</v>
      </c>
      <c r="F125" s="34">
        <f>1.277*1.08</f>
        <v>1.37916</v>
      </c>
      <c r="G125" s="34"/>
      <c r="H125" s="34">
        <f>3.319*1.08</f>
        <v>3.5845200000000004</v>
      </c>
      <c r="I125" s="34"/>
      <c r="J125" s="34"/>
      <c r="K125" s="34"/>
      <c r="L125" s="34">
        <f>17.414*1.08</f>
        <v>18.80712</v>
      </c>
      <c r="M125" s="34">
        <f>94.955*1.08</f>
        <v>102.5514</v>
      </c>
      <c r="N125" s="34">
        <f>25.212*1.08</f>
        <v>27.22896</v>
      </c>
      <c r="O125" s="34">
        <f>194.296*1.08</f>
        <v>209.83968000000002</v>
      </c>
      <c r="P125" s="9">
        <f>SUM(D125:O125)</f>
        <v>570.6666</v>
      </c>
    </row>
    <row r="126" spans="1:16" ht="19.5" customHeight="1">
      <c r="A126" s="50"/>
      <c r="B126" s="47" t="s">
        <v>20</v>
      </c>
      <c r="C126" s="54" t="s">
        <v>16</v>
      </c>
      <c r="D126" s="1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8"/>
    </row>
    <row r="127" spans="1:16" ht="19.5" customHeight="1">
      <c r="A127" s="50"/>
      <c r="B127" s="48" t="s">
        <v>73</v>
      </c>
      <c r="C127" s="48" t="s">
        <v>18</v>
      </c>
      <c r="D127" s="2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9"/>
    </row>
    <row r="128" spans="1:16" s="60" customFormat="1" ht="19.5" customHeight="1">
      <c r="A128" s="57"/>
      <c r="B128" s="388" t="s">
        <v>114</v>
      </c>
      <c r="C128" s="62" t="s">
        <v>16</v>
      </c>
      <c r="D128" s="5">
        <f>+D106+D108+D110+D112+D114+D116+D118+D120+D122+D124+D126</f>
        <v>6.9613</v>
      </c>
      <c r="E128" s="5">
        <f aca="true" t="shared" si="5" ref="E128:O129">+E106+E108+E110+E112+E114+E116+E118+E120+E122+E124+E126</f>
        <v>6.8709</v>
      </c>
      <c r="F128" s="5">
        <f>+F106+F108+F110+F112+F114+F116+F118+F120+F122+F124+F126</f>
        <v>7.9076</v>
      </c>
      <c r="G128" s="5">
        <f>+G106+G108+G110+G112+G114+G116+G118+G120+G122+G124+G126</f>
        <v>10.9577</v>
      </c>
      <c r="H128" s="5">
        <f>+H106+H108+H110+H112+H114+H116+H118+H120+H122+H124+H126</f>
        <v>5.9572</v>
      </c>
      <c r="I128" s="5">
        <f>+I106+I108+I110+I112+I114+I116+I118+I120+I122+I124+I126</f>
        <v>0.429</v>
      </c>
      <c r="J128" s="5">
        <f>+J106+J108+J110+J112+J114+J116+J118+J120+J122+J124+J126</f>
        <v>0.184</v>
      </c>
      <c r="K128" s="5"/>
      <c r="L128" s="5">
        <f t="shared" si="5"/>
        <v>11.458400000000001</v>
      </c>
      <c r="M128" s="5">
        <f t="shared" si="5"/>
        <v>14.5021</v>
      </c>
      <c r="N128" s="5">
        <f t="shared" si="5"/>
        <v>9.157499999999999</v>
      </c>
      <c r="O128" s="5">
        <f t="shared" si="5"/>
        <v>9.339500000000001</v>
      </c>
      <c r="P128" s="15">
        <f>SUM(D128:O128)</f>
        <v>83.7252</v>
      </c>
    </row>
    <row r="129" spans="1:16" s="60" customFormat="1" ht="19.5" customHeight="1">
      <c r="A129" s="90"/>
      <c r="B129" s="389"/>
      <c r="C129" s="91" t="s">
        <v>18</v>
      </c>
      <c r="D129" s="34">
        <f>+D107+D109+D111+D113+D115+D117+D119+D121+D123+D125+D127</f>
        <v>10905.861600000002</v>
      </c>
      <c r="E129" s="34">
        <f t="shared" si="5"/>
        <v>11756.66832</v>
      </c>
      <c r="F129" s="34">
        <f t="shared" si="5"/>
        <v>15602.933880000002</v>
      </c>
      <c r="G129" s="34">
        <f t="shared" si="5"/>
        <v>18802.823760000003</v>
      </c>
      <c r="H129" s="34">
        <f t="shared" si="5"/>
        <v>11142.037080000002</v>
      </c>
      <c r="I129" s="34">
        <f t="shared" si="5"/>
        <v>165.56400000000005</v>
      </c>
      <c r="J129" s="34">
        <f>+J107+J109+J111+J113+J115+J117+J119+J121+J123+J125+J127</f>
        <v>54.864</v>
      </c>
      <c r="K129" s="34"/>
      <c r="L129" s="34">
        <f t="shared" si="5"/>
        <v>19942.35768</v>
      </c>
      <c r="M129" s="34">
        <f t="shared" si="5"/>
        <v>25077.153960000003</v>
      </c>
      <c r="N129" s="34">
        <f t="shared" si="5"/>
        <v>15024.917880000003</v>
      </c>
      <c r="O129" s="34">
        <f t="shared" si="5"/>
        <v>17858.455560000002</v>
      </c>
      <c r="P129" s="92">
        <f>SUM(D129:O129)</f>
        <v>146333.63772</v>
      </c>
    </row>
    <row r="130" spans="1:16" ht="19.5" customHeight="1">
      <c r="A130" s="44" t="s">
        <v>0</v>
      </c>
      <c r="B130" s="382" t="s">
        <v>74</v>
      </c>
      <c r="C130" s="54" t="s">
        <v>16</v>
      </c>
      <c r="D130" s="1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8"/>
    </row>
    <row r="131" spans="1:16" ht="19.5" customHeight="1">
      <c r="A131" s="44" t="s">
        <v>0</v>
      </c>
      <c r="B131" s="383"/>
      <c r="C131" s="48" t="s">
        <v>18</v>
      </c>
      <c r="D131" s="2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9"/>
    </row>
    <row r="132" spans="1:16" ht="19.5" customHeight="1">
      <c r="A132" s="44" t="s">
        <v>75</v>
      </c>
      <c r="B132" s="382" t="s">
        <v>76</v>
      </c>
      <c r="C132" s="54" t="s">
        <v>16</v>
      </c>
      <c r="D132" s="1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8"/>
    </row>
    <row r="133" spans="1:16" ht="19.5" customHeight="1">
      <c r="A133" s="50"/>
      <c r="B133" s="383"/>
      <c r="C133" s="48" t="s">
        <v>18</v>
      </c>
      <c r="D133" s="2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9"/>
    </row>
    <row r="134" spans="1:16" ht="19.5" customHeight="1">
      <c r="A134" s="44" t="s">
        <v>77</v>
      </c>
      <c r="B134" s="47" t="s">
        <v>20</v>
      </c>
      <c r="C134" s="140" t="s">
        <v>16</v>
      </c>
      <c r="D134" s="201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4"/>
    </row>
    <row r="135" spans="1:16" ht="19.5" customHeight="1">
      <c r="A135" s="50"/>
      <c r="B135" s="47" t="s">
        <v>78</v>
      </c>
      <c r="C135" s="54" t="s">
        <v>79</v>
      </c>
      <c r="D135" s="21"/>
      <c r="E135" s="87"/>
      <c r="F135" s="87"/>
      <c r="G135" s="87"/>
      <c r="H135" s="87"/>
      <c r="I135" s="28"/>
      <c r="J135" s="28"/>
      <c r="K135" s="28"/>
      <c r="L135" s="28"/>
      <c r="M135" s="28"/>
      <c r="N135" s="28"/>
      <c r="O135" s="28"/>
      <c r="P135" s="22"/>
    </row>
    <row r="136" spans="1:16" ht="19.5" customHeight="1">
      <c r="A136" s="44" t="s">
        <v>23</v>
      </c>
      <c r="B136" s="2"/>
      <c r="C136" s="139" t="s">
        <v>18</v>
      </c>
      <c r="D136" s="204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7"/>
    </row>
    <row r="137" spans="1:16" s="60" customFormat="1" ht="19.5" customHeight="1">
      <c r="A137" s="57"/>
      <c r="B137" s="93" t="s">
        <v>0</v>
      </c>
      <c r="C137" s="62" t="s">
        <v>16</v>
      </c>
      <c r="D137" s="5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0"/>
    </row>
    <row r="138" spans="1:16" s="60" customFormat="1" ht="19.5" customHeight="1">
      <c r="A138" s="57"/>
      <c r="B138" s="94" t="s">
        <v>138</v>
      </c>
      <c r="C138" s="62" t="s">
        <v>79</v>
      </c>
      <c r="D138" s="5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23"/>
    </row>
    <row r="139" spans="1:16" s="60" customFormat="1" ht="19.5" customHeight="1">
      <c r="A139" s="90"/>
      <c r="B139" s="34"/>
      <c r="C139" s="91" t="s">
        <v>18</v>
      </c>
      <c r="D139" s="34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92"/>
    </row>
    <row r="140" spans="1:16" s="60" customFormat="1" ht="19.5" customHeight="1">
      <c r="A140" s="57"/>
      <c r="B140" s="58" t="s">
        <v>0</v>
      </c>
      <c r="C140" s="62" t="s">
        <v>16</v>
      </c>
      <c r="D140" s="5">
        <f>D137+D128+D104</f>
        <v>7.1913</v>
      </c>
      <c r="E140" s="203">
        <f>E137+E128+E104</f>
        <v>7.4313</v>
      </c>
      <c r="F140" s="203">
        <f aca="true" t="shared" si="6" ref="F140:O140">F137+F128+F104</f>
        <v>8.476600000000001</v>
      </c>
      <c r="G140" s="203">
        <f t="shared" si="6"/>
        <v>12.544400000000001</v>
      </c>
      <c r="H140" s="203">
        <f t="shared" si="6"/>
        <v>6.222300000000001</v>
      </c>
      <c r="I140" s="203">
        <f t="shared" si="6"/>
        <v>2.4320999999999997</v>
      </c>
      <c r="J140" s="203">
        <f t="shared" si="6"/>
        <v>0.3665</v>
      </c>
      <c r="K140" s="203">
        <f t="shared" si="6"/>
        <v>0.0864</v>
      </c>
      <c r="L140" s="203">
        <f t="shared" si="6"/>
        <v>11.9183</v>
      </c>
      <c r="M140" s="203">
        <f t="shared" si="6"/>
        <v>15.5783</v>
      </c>
      <c r="N140" s="203">
        <f t="shared" si="6"/>
        <v>9.832999999999998</v>
      </c>
      <c r="O140" s="203">
        <f t="shared" si="6"/>
        <v>9.9632</v>
      </c>
      <c r="P140" s="200">
        <f>SUM(D140:O140)</f>
        <v>92.04370000000002</v>
      </c>
    </row>
    <row r="141" spans="1:16" s="60" customFormat="1" ht="19.5" customHeight="1">
      <c r="A141" s="57"/>
      <c r="B141" s="61" t="s">
        <v>143</v>
      </c>
      <c r="C141" s="62" t="s">
        <v>79</v>
      </c>
      <c r="D141" s="5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23"/>
    </row>
    <row r="142" spans="1:16" s="60" customFormat="1" ht="19.5" customHeight="1" thickBot="1">
      <c r="A142" s="63"/>
      <c r="B142" s="64"/>
      <c r="C142" s="65" t="s">
        <v>18</v>
      </c>
      <c r="D142" s="6">
        <f>D139+D129+D105</f>
        <v>10965.247560000002</v>
      </c>
      <c r="E142" s="31">
        <f aca="true" t="shared" si="7" ref="E142:O142">E139+E129+E105</f>
        <v>11854.52064</v>
      </c>
      <c r="F142" s="31">
        <f t="shared" si="7"/>
        <v>15867.046800000002</v>
      </c>
      <c r="G142" s="31">
        <f t="shared" si="7"/>
        <v>19764.641520000005</v>
      </c>
      <c r="H142" s="31">
        <f t="shared" si="7"/>
        <v>11195.614800000001</v>
      </c>
      <c r="I142" s="31">
        <f t="shared" si="7"/>
        <v>937.2304800000001</v>
      </c>
      <c r="J142" s="31">
        <f t="shared" si="7"/>
        <v>169.29000000000002</v>
      </c>
      <c r="K142" s="31">
        <f t="shared" si="7"/>
        <v>98.9928</v>
      </c>
      <c r="L142" s="31">
        <f t="shared" si="7"/>
        <v>20052.438840000003</v>
      </c>
      <c r="M142" s="31">
        <f t="shared" si="7"/>
        <v>25451.707680000003</v>
      </c>
      <c r="N142" s="31">
        <f t="shared" si="7"/>
        <v>15224.115240000003</v>
      </c>
      <c r="O142" s="31">
        <f t="shared" si="7"/>
        <v>18090.78624</v>
      </c>
      <c r="P142" s="7">
        <f>SUM(D142:O142)</f>
        <v>149671.6326</v>
      </c>
    </row>
    <row r="143" spans="15:16" ht="18.75">
      <c r="O143" s="85"/>
      <c r="P143" s="67" t="s">
        <v>92</v>
      </c>
    </row>
    <row r="145" spans="5:6" ht="18.75">
      <c r="E145" s="24"/>
      <c r="F145" s="24"/>
    </row>
    <row r="146" spans="4:10" ht="18.75">
      <c r="D146" s="4"/>
      <c r="E146" s="24"/>
      <c r="F146" s="24"/>
      <c r="G146" s="24"/>
      <c r="H146" s="24"/>
      <c r="I146" s="24"/>
      <c r="J146" s="24"/>
    </row>
    <row r="147" spans="4:10" ht="18.75">
      <c r="D147" s="4"/>
      <c r="E147" s="24"/>
      <c r="F147" s="24"/>
      <c r="G147" s="24"/>
      <c r="H147" s="24"/>
      <c r="I147" s="24"/>
      <c r="J147" s="24"/>
    </row>
    <row r="148" spans="4:10" ht="18.75">
      <c r="D148" s="24"/>
      <c r="E148" s="24"/>
      <c r="F148" s="24"/>
      <c r="G148" s="24"/>
      <c r="H148" s="24"/>
      <c r="I148" s="24"/>
      <c r="J148" s="24"/>
    </row>
    <row r="149" spans="4:10" ht="18.75">
      <c r="D149" s="68"/>
      <c r="E149" s="24"/>
      <c r="F149" s="24"/>
      <c r="G149" s="24"/>
      <c r="H149" s="24"/>
      <c r="I149" s="24"/>
      <c r="J149" s="24"/>
    </row>
  </sheetData>
  <sheetProtection/>
  <mergeCells count="52">
    <mergeCell ref="A1:P1"/>
    <mergeCell ref="B5:B6"/>
    <mergeCell ref="B9:B10"/>
    <mergeCell ref="A11:B12"/>
    <mergeCell ref="B13:B14"/>
    <mergeCell ref="B31:B32"/>
    <mergeCell ref="B33:B34"/>
    <mergeCell ref="B15:B16"/>
    <mergeCell ref="B17:B18"/>
    <mergeCell ref="B21:B22"/>
    <mergeCell ref="B23:B24"/>
    <mergeCell ref="B25:B26"/>
    <mergeCell ref="B29:B30"/>
    <mergeCell ref="B37:B38"/>
    <mergeCell ref="A39:B40"/>
    <mergeCell ref="A41:B42"/>
    <mergeCell ref="A43:B44"/>
    <mergeCell ref="A45:B46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B88:B89"/>
    <mergeCell ref="A90:B91"/>
    <mergeCell ref="A92:B93"/>
    <mergeCell ref="A94:B95"/>
    <mergeCell ref="A96:B97"/>
    <mergeCell ref="B130:B131"/>
    <mergeCell ref="A98:B99"/>
    <mergeCell ref="A100:B101"/>
    <mergeCell ref="A102:B103"/>
    <mergeCell ref="A104:B105"/>
    <mergeCell ref="B106:B107"/>
    <mergeCell ref="B108:B109"/>
    <mergeCell ref="B132:B133"/>
    <mergeCell ref="B118:B119"/>
    <mergeCell ref="B120:B121"/>
    <mergeCell ref="B122:B123"/>
    <mergeCell ref="B124:B125"/>
    <mergeCell ref="B110:B111"/>
    <mergeCell ref="B112:B113"/>
    <mergeCell ref="B114:B115"/>
    <mergeCell ref="B116:B117"/>
    <mergeCell ref="B128:B129"/>
  </mergeCells>
  <printOptions/>
  <pageMargins left="0.7" right="0.7" top="0.75" bottom="0.75" header="0.3" footer="0.3"/>
  <pageSetup firstPageNumber="45" useFirstPageNumber="1" fitToHeight="2" fitToWidth="1" horizontalDpi="600" verticalDpi="600" orientation="landscape" paperSize="9" scale="36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宮城県水産林業部漁政課</dc:creator>
  <cp:keywords/>
  <dc:description/>
  <cp:lastModifiedBy>宮城県</cp:lastModifiedBy>
  <cp:lastPrinted>2015-02-11T08:08:31Z</cp:lastPrinted>
  <dcterms:created xsi:type="dcterms:W3CDTF">1999-06-10T06:54:46Z</dcterms:created>
  <dcterms:modified xsi:type="dcterms:W3CDTF">2015-02-11T08:59:48Z</dcterms:modified>
  <cp:category/>
  <cp:version/>
  <cp:contentType/>
  <cp:contentStatus/>
</cp:coreProperties>
</file>