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5610" windowHeight="4680" tabRatio="599" activeTab="0"/>
  </bookViews>
  <sheets>
    <sheet name="入力用シート" sheetId="1" r:id="rId1"/>
    <sheet name="データ" sheetId="2" r:id="rId2"/>
    <sheet name="初回結果票" sheetId="3" r:id="rId3"/>
    <sheet name="最終結果票" sheetId="4" r:id="rId4"/>
  </sheets>
  <definedNames>
    <definedName name="_xlnm.Print_Area" localSheetId="0">'入力用シート'!$A$1:$F$30</definedName>
  </definedNames>
  <calcPr fullCalcOnLoad="1"/>
</workbook>
</file>

<file path=xl/sharedStrings.xml><?xml version="1.0" encoding="utf-8"?>
<sst xmlns="http://schemas.openxmlformats.org/spreadsheetml/2006/main" count="315" uniqueCount="148">
  <si>
    <t>お名前</t>
  </si>
  <si>
    <t>年齢</t>
  </si>
  <si>
    <t>性別</t>
  </si>
  <si>
    <t>身体状況</t>
  </si>
  <si>
    <t>身長</t>
  </si>
  <si>
    <t>体重</t>
  </si>
  <si>
    <t>肥満度（体脂肪率）</t>
  </si>
  <si>
    <t>最高血圧</t>
  </si>
  <si>
    <t>最低血圧</t>
  </si>
  <si>
    <t>肥満度(BMI)</t>
  </si>
  <si>
    <t>評価</t>
  </si>
  <si>
    <t>身長（ｃｍ）</t>
  </si>
  <si>
    <t>体重（ｋｇ）</t>
  </si>
  <si>
    <t>名前</t>
  </si>
  <si>
    <t>体脂肪率</t>
  </si>
  <si>
    <t>握力（右）</t>
  </si>
  <si>
    <t>握力（左）</t>
  </si>
  <si>
    <t>５ｍ歩行</t>
  </si>
  <si>
    <t>体力テスト結果</t>
  </si>
  <si>
    <t>5m歩行</t>
  </si>
  <si>
    <t>BMI</t>
  </si>
  <si>
    <t>女</t>
  </si>
  <si>
    <t>男</t>
  </si>
  <si>
    <t>測定日</t>
  </si>
  <si>
    <r>
      <t>N</t>
    </r>
    <r>
      <rPr>
        <sz val="11"/>
        <rFont val="ＭＳ Ｐゴシック"/>
        <family val="3"/>
      </rPr>
      <t>o.</t>
    </r>
  </si>
  <si>
    <t>基準値</t>
  </si>
  <si>
    <t>握力</t>
  </si>
  <si>
    <t>片足立ち</t>
  </si>
  <si>
    <t>照合用</t>
  </si>
  <si>
    <t>照合値</t>
  </si>
  <si>
    <t>年齢区分</t>
  </si>
  <si>
    <t>片足立ち（右）</t>
  </si>
  <si>
    <t>片足立ち（左）</t>
  </si>
  <si>
    <t>長座位前屈</t>
  </si>
  <si>
    <t>長座位前屈</t>
  </si>
  <si>
    <t>◆評価の説明</t>
  </si>
  <si>
    <t>５ｍ評価</t>
  </si>
  <si>
    <t>長座評価</t>
  </si>
  <si>
    <t>握力評価右</t>
  </si>
  <si>
    <t>握力評価左</t>
  </si>
  <si>
    <t>片足評価右</t>
  </si>
  <si>
    <t>片足評価左</t>
  </si>
  <si>
    <t>初回測定</t>
  </si>
  <si>
    <t>◎・・・</t>
  </si>
  <si>
    <t>○・・・</t>
  </si>
  <si>
    <t>△・・・</t>
  </si>
  <si>
    <t>平均・可</t>
  </si>
  <si>
    <t>平均以上・良</t>
  </si>
  <si>
    <t>平均以下・不可</t>
  </si>
  <si>
    <t>座位ステッピング</t>
  </si>
  <si>
    <t>力</t>
  </si>
  <si>
    <t>歩く能力</t>
  </si>
  <si>
    <t>測定項目</t>
  </si>
  <si>
    <t>評価項目</t>
  </si>
  <si>
    <t>2.5～3.3</t>
  </si>
  <si>
    <t>31.1～34.0</t>
  </si>
  <si>
    <t>21～100</t>
  </si>
  <si>
    <t>2.6～3.4</t>
  </si>
  <si>
    <t>29.1～32.0</t>
  </si>
  <si>
    <t>13～45</t>
  </si>
  <si>
    <t>2.7～3.6</t>
  </si>
  <si>
    <t>26.1～29.0</t>
  </si>
  <si>
    <t>10～26</t>
  </si>
  <si>
    <t>3.1～4.1</t>
  </si>
  <si>
    <t>23.1～27.0</t>
  </si>
  <si>
    <t>6～18</t>
  </si>
  <si>
    <t>3.5～4.6</t>
  </si>
  <si>
    <t>23.1～25.0</t>
  </si>
  <si>
    <t>4～13</t>
  </si>
  <si>
    <t>3.9～5.1</t>
  </si>
  <si>
    <t>21.1～23.0</t>
  </si>
  <si>
    <t>29～84</t>
  </si>
  <si>
    <t>2.8～3.8</t>
  </si>
  <si>
    <t>19.1～21.0</t>
  </si>
  <si>
    <t>18～58</t>
  </si>
  <si>
    <t>3.0～4.0</t>
  </si>
  <si>
    <t>18.1～20.0</t>
  </si>
  <si>
    <t>11～29</t>
  </si>
  <si>
    <t>3.3～4.4</t>
  </si>
  <si>
    <t>16.1～18.0</t>
  </si>
  <si>
    <t>5～15</t>
  </si>
  <si>
    <t>16.1～17.0</t>
  </si>
  <si>
    <t>4.4～5.8</t>
  </si>
  <si>
    <t>13.1～16.0</t>
  </si>
  <si>
    <t>3～11</t>
  </si>
  <si>
    <t>5.0～6.5</t>
  </si>
  <si>
    <t>34.1～37.0</t>
  </si>
  <si>
    <t>28～110</t>
  </si>
  <si>
    <t>6.1～13</t>
  </si>
  <si>
    <t>4.1～11.5</t>
  </si>
  <si>
    <t>3.6～11.5</t>
  </si>
  <si>
    <t>3.6～11</t>
  </si>
  <si>
    <t>1.6～10.5</t>
  </si>
  <si>
    <t>7.1～14.5</t>
  </si>
  <si>
    <t>0.1～10</t>
  </si>
  <si>
    <t>-2.9～6</t>
  </si>
  <si>
    <t>-3.4～4</t>
  </si>
  <si>
    <t>-4.4～4</t>
  </si>
  <si>
    <t>ステッピング</t>
  </si>
  <si>
    <t>ステッピング</t>
  </si>
  <si>
    <t>片脚立（右）</t>
  </si>
  <si>
    <t>片脚立（左）</t>
  </si>
  <si>
    <t>すばやさ</t>
  </si>
  <si>
    <t>回</t>
  </si>
  <si>
    <t>秒</t>
  </si>
  <si>
    <t>No.</t>
  </si>
  <si>
    <t>㎏</t>
  </si>
  <si>
    <t>バランス</t>
  </si>
  <si>
    <t>29～33</t>
  </si>
  <si>
    <t>28～32</t>
  </si>
  <si>
    <t>27～31</t>
  </si>
  <si>
    <t>25～30</t>
  </si>
  <si>
    <t>24～29</t>
  </si>
  <si>
    <t>31～34</t>
  </si>
  <si>
    <t>29～32</t>
  </si>
  <si>
    <t>28～31</t>
  </si>
  <si>
    <t>27～30</t>
  </si>
  <si>
    <t>26～29</t>
  </si>
  <si>
    <t>30～33</t>
  </si>
  <si>
    <t>平均値・目安値</t>
  </si>
  <si>
    <t>ステッピング</t>
  </si>
  <si>
    <t>基本情報</t>
  </si>
  <si>
    <t>やわらかさ</t>
  </si>
  <si>
    <t>氏名</t>
  </si>
  <si>
    <t>＜体力測定個別入力シート＞</t>
  </si>
  <si>
    <t>性別（男１／女２）</t>
  </si>
  <si>
    <t>データ数</t>
  </si>
  <si>
    <t>１回目</t>
  </si>
  <si>
    <t>２回目</t>
  </si>
  <si>
    <t>平均値</t>
  </si>
  <si>
    <t>すばやさ</t>
  </si>
  <si>
    <t>バランス</t>
  </si>
  <si>
    <t>やわらかさ</t>
  </si>
  <si>
    <t>測定結果（初回用）</t>
  </si>
  <si>
    <t>測定結果（最終用）</t>
  </si>
  <si>
    <t>最終評価</t>
  </si>
  <si>
    <t>◆体力測定評価の説明</t>
  </si>
  <si>
    <t>向上・改善</t>
  </si>
  <si>
    <t>低下・悪化</t>
  </si>
  <si>
    <t>維持・変化なし</t>
  </si>
  <si>
    <t>測定値</t>
  </si>
  <si>
    <t>測定
回数</t>
  </si>
  <si>
    <t>※数字のみ入力してください．</t>
  </si>
  <si>
    <t>初回測定日</t>
  </si>
  <si>
    <t>最終測定日</t>
  </si>
  <si>
    <t>←2回目では入力いりません．</t>
  </si>
  <si>
    <t>cm</t>
  </si>
  <si>
    <t>宮城太郎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</si>
</sst>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%"/>
    <numFmt numFmtId="179" formatCode="0.00_ "/>
    <numFmt numFmtId="180" formatCode="0&quot;ｃｍ&quot;"/>
    <numFmt numFmtId="181" formatCode="0.0&quot;kg&quot;"/>
    <numFmt numFmtId="182" formatCode="0.0&quot;%&quot;"/>
    <numFmt numFmtId="183" formatCode="0&quot;kg&quot;"/>
    <numFmt numFmtId="184" formatCode="0&quot;秒&quot;"/>
    <numFmt numFmtId="185" formatCode="0&quot;%&quot;"/>
    <numFmt numFmtId="186" formatCode="0.0&quot;秒&quot;"/>
    <numFmt numFmtId="187" formatCode="@&quot;　様&quot;\ \ "/>
    <numFmt numFmtId="188" formatCode="0&quot;　歳&quot;"/>
    <numFmt numFmtId="189" formatCode="0_ "/>
    <numFmt numFmtId="190" formatCode="0.0000"/>
    <numFmt numFmtId="191" formatCode="0.000"/>
    <numFmt numFmtId="192" formatCode="0&quot;歳&quot;"/>
    <numFmt numFmtId="193" formatCode="0.0_);[Red]\(0.0\)"/>
    <numFmt numFmtId="194" formatCode="&quot;回&quot;"/>
    <numFmt numFmtId="195" formatCode="0.0&quot;回&quot;"/>
    <numFmt numFmtId="196" formatCode="0&quot;回&quot;"/>
    <numFmt numFmtId="197" formatCode="0&quot;歩&quot;"/>
    <numFmt numFmtId="198" formatCode="0_);[Red]\(0\)"/>
    <numFmt numFmtId="199" formatCode="0_);\(0\)"/>
    <numFmt numFmtId="200" formatCode="@&quot;　様&quot;"/>
    <numFmt numFmtId="201" formatCode="[$-411]ggge&quot;年&quot;m&quot;月&quot;d&quot;日&quot;;@"/>
    <numFmt numFmtId="202" formatCode="@\ &quot;様&quot;"/>
    <numFmt numFmtId="203" formatCode="&quot;　回目&quot;"/>
    <numFmt numFmtId="204" formatCode="0&quot;　回目&quot;"/>
    <numFmt numFmtId="205" formatCode="0&quot;回目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2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8"/>
      <color indexed="8"/>
      <name val="HG丸ｺﾞｼｯｸM-PRO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6"/>
      <name val="Calibri"/>
      <family val="3"/>
    </font>
    <font>
      <sz val="9"/>
      <color theme="0"/>
      <name val="ＭＳ Ｐゴシック"/>
      <family val="3"/>
    </font>
    <font>
      <sz val="12"/>
      <color theme="0"/>
      <name val="ＭＳ Ｐ明朝"/>
      <family val="1"/>
    </font>
    <font>
      <sz val="10"/>
      <color theme="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38" fontId="0" fillId="0" borderId="10" xfId="49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38" fontId="0" fillId="0" borderId="10" xfId="49" applyFon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38" fontId="0" fillId="0" borderId="10" xfId="49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177" fontId="0" fillId="34" borderId="10" xfId="0" applyNumberForma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188" fontId="7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87" fontId="7" fillId="0" borderId="0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77" fontId="7" fillId="0" borderId="10" xfId="0" applyNumberFormat="1" applyFont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shrinkToFit="1"/>
      <protection/>
    </xf>
    <xf numFmtId="182" fontId="7" fillId="0" borderId="10" xfId="0" applyNumberFormat="1" applyFont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196" fontId="7" fillId="0" borderId="10" xfId="0" applyNumberFormat="1" applyFont="1" applyBorder="1" applyAlignment="1" applyProtection="1">
      <alignment horizontal="center"/>
      <protection/>
    </xf>
    <xf numFmtId="186" fontId="7" fillId="0" borderId="10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49" fontId="6" fillId="3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56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9" borderId="10" xfId="0" applyFill="1" applyBorder="1" applyAlignment="1" applyProtection="1">
      <alignment horizontal="center"/>
      <protection/>
    </xf>
    <xf numFmtId="0" fontId="6" fillId="39" borderId="10" xfId="0" applyFont="1" applyFill="1" applyBorder="1" applyAlignment="1" applyProtection="1">
      <alignment horizontal="center"/>
      <protection/>
    </xf>
    <xf numFmtId="49" fontId="6" fillId="39" borderId="10" xfId="0" applyNumberFormat="1" applyFont="1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5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8" fontId="0" fillId="0" borderId="14" xfId="49" applyFont="1" applyBorder="1" applyAlignment="1" applyProtection="1">
      <alignment horizontal="center"/>
      <protection locked="0"/>
    </xf>
    <xf numFmtId="38" fontId="0" fillId="0" borderId="14" xfId="49" applyFont="1" applyBorder="1" applyAlignment="1" applyProtection="1">
      <alignment/>
      <protection locked="0"/>
    </xf>
    <xf numFmtId="38" fontId="0" fillId="0" borderId="14" xfId="49" applyFont="1" applyFill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7" fillId="35" borderId="25" xfId="0" applyFont="1" applyFill="1" applyBorder="1" applyAlignment="1" applyProtection="1">
      <alignment horizontal="center"/>
      <protection/>
    </xf>
    <xf numFmtId="0" fontId="7" fillId="35" borderId="26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180" fontId="7" fillId="35" borderId="25" xfId="0" applyNumberFormat="1" applyFont="1" applyFill="1" applyBorder="1" applyAlignment="1" applyProtection="1">
      <alignment horizontal="center"/>
      <protection/>
    </xf>
    <xf numFmtId="181" fontId="7" fillId="35" borderId="26" xfId="0" applyNumberFormat="1" applyFont="1" applyFill="1" applyBorder="1" applyAlignment="1" applyProtection="1">
      <alignment horizontal="center"/>
      <protection/>
    </xf>
    <xf numFmtId="182" fontId="7" fillId="35" borderId="26" xfId="0" applyNumberFormat="1" applyFont="1" applyFill="1" applyBorder="1" applyAlignment="1" applyProtection="1">
      <alignment horizontal="center"/>
      <protection/>
    </xf>
    <xf numFmtId="181" fontId="7" fillId="35" borderId="25" xfId="0" applyNumberFormat="1" applyFont="1" applyFill="1" applyBorder="1" applyAlignment="1" applyProtection="1">
      <alignment horizontal="center"/>
      <protection/>
    </xf>
    <xf numFmtId="196" fontId="7" fillId="35" borderId="26" xfId="0" applyNumberFormat="1" applyFont="1" applyFill="1" applyBorder="1" applyAlignment="1" applyProtection="1">
      <alignment horizontal="center"/>
      <protection/>
    </xf>
    <xf numFmtId="186" fontId="7" fillId="35" borderId="26" xfId="0" applyNumberFormat="1" applyFont="1" applyFill="1" applyBorder="1" applyAlignment="1" applyProtection="1">
      <alignment horizontal="center"/>
      <protection/>
    </xf>
    <xf numFmtId="180" fontId="7" fillId="35" borderId="2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201" fontId="7" fillId="35" borderId="28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10" fillId="40" borderId="0" xfId="0" applyFont="1" applyFill="1" applyAlignment="1">
      <alignment horizontal="center" vertical="center"/>
    </xf>
    <xf numFmtId="0" fontId="7" fillId="40" borderId="14" xfId="0" applyFont="1" applyFill="1" applyBorder="1" applyAlignment="1">
      <alignment horizontal="center" vertical="center"/>
    </xf>
    <xf numFmtId="0" fontId="7" fillId="40" borderId="0" xfId="0" applyFont="1" applyFill="1" applyAlignment="1" applyProtection="1">
      <alignment horizontal="center"/>
      <protection/>
    </xf>
    <xf numFmtId="0" fontId="7" fillId="40" borderId="14" xfId="0" applyFont="1" applyFill="1" applyBorder="1" applyAlignment="1" applyProtection="1">
      <alignment horizontal="center"/>
      <protection/>
    </xf>
    <xf numFmtId="0" fontId="0" fillId="40" borderId="0" xfId="0" applyFill="1" applyBorder="1" applyAlignment="1">
      <alignment/>
    </xf>
    <xf numFmtId="188" fontId="7" fillId="40" borderId="0" xfId="0" applyNumberFormat="1" applyFont="1" applyFill="1" applyBorder="1" applyAlignment="1" applyProtection="1">
      <alignment horizontal="center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0" fillId="40" borderId="0" xfId="0" applyFont="1" applyFill="1" applyAlignment="1" applyProtection="1">
      <alignment/>
      <protection/>
    </xf>
    <xf numFmtId="187" fontId="7" fillId="40" borderId="0" xfId="0" applyNumberFormat="1" applyFont="1" applyFill="1" applyBorder="1" applyAlignment="1" applyProtection="1">
      <alignment horizontal="center"/>
      <protection/>
    </xf>
    <xf numFmtId="0" fontId="8" fillId="40" borderId="0" xfId="0" applyFont="1" applyFill="1" applyAlignment="1" applyProtection="1">
      <alignment horizontal="center"/>
      <protection/>
    </xf>
    <xf numFmtId="0" fontId="8" fillId="40" borderId="0" xfId="0" applyFont="1" applyFill="1" applyAlignment="1" applyProtection="1">
      <alignment/>
      <protection/>
    </xf>
    <xf numFmtId="0" fontId="8" fillId="40" borderId="10" xfId="0" applyFont="1" applyFill="1" applyBorder="1" applyAlignment="1" applyProtection="1">
      <alignment/>
      <protection/>
    </xf>
    <xf numFmtId="0" fontId="7" fillId="40" borderId="13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/>
      <protection/>
    </xf>
    <xf numFmtId="0" fontId="8" fillId="40" borderId="14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/>
      <protection/>
    </xf>
    <xf numFmtId="0" fontId="8" fillId="40" borderId="14" xfId="0" applyFont="1" applyFill="1" applyBorder="1" applyAlignment="1" applyProtection="1">
      <alignment horizontal="center" shrinkToFit="1"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 applyProtection="1">
      <alignment horizontal="center"/>
      <protection/>
    </xf>
    <xf numFmtId="0" fontId="8" fillId="40" borderId="10" xfId="0" applyFont="1" applyFill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8" fillId="40" borderId="14" xfId="0" applyFont="1" applyFill="1" applyBorder="1" applyAlignment="1" applyProtection="1">
      <alignment/>
      <protection/>
    </xf>
    <xf numFmtId="181" fontId="7" fillId="40" borderId="0" xfId="0" applyNumberFormat="1" applyFont="1" applyFill="1" applyBorder="1" applyAlignment="1" applyProtection="1">
      <alignment horizontal="center"/>
      <protection/>
    </xf>
    <xf numFmtId="0" fontId="7" fillId="40" borderId="29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188" fontId="64" fillId="0" borderId="12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2" xfId="0" applyFont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181" fontId="65" fillId="0" borderId="10" xfId="0" applyNumberFormat="1" applyFont="1" applyBorder="1" applyAlignment="1">
      <alignment horizontal="center"/>
    </xf>
    <xf numFmtId="177" fontId="65" fillId="0" borderId="10" xfId="0" applyNumberFormat="1" applyFont="1" applyBorder="1" applyAlignment="1">
      <alignment horizontal="center"/>
    </xf>
    <xf numFmtId="0" fontId="65" fillId="35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shrinkToFit="1"/>
    </xf>
    <xf numFmtId="0" fontId="66" fillId="0" borderId="0" xfId="0" applyFont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7" fillId="0" borderId="0" xfId="0" applyFont="1" applyBorder="1" applyAlignment="1">
      <alignment horizontal="right"/>
    </xf>
    <xf numFmtId="180" fontId="6" fillId="0" borderId="14" xfId="0" applyNumberFormat="1" applyFont="1" applyBorder="1" applyAlignment="1" applyProtection="1">
      <alignment horizontal="center"/>
      <protection/>
    </xf>
    <xf numFmtId="181" fontId="6" fillId="0" borderId="14" xfId="0" applyNumberFormat="1" applyFont="1" applyBorder="1" applyAlignment="1" applyProtection="1">
      <alignment horizontal="center"/>
      <protection/>
    </xf>
    <xf numFmtId="177" fontId="6" fillId="0" borderId="10" xfId="0" applyNumberFormat="1" applyFont="1" applyBorder="1" applyAlignment="1" applyProtection="1">
      <alignment horizontal="center"/>
      <protection/>
    </xf>
    <xf numFmtId="182" fontId="6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181" fontId="6" fillId="0" borderId="10" xfId="0" applyNumberFormat="1" applyFont="1" applyBorder="1" applyAlignment="1" applyProtection="1">
      <alignment horizontal="center"/>
      <protection/>
    </xf>
    <xf numFmtId="196" fontId="6" fillId="0" borderId="10" xfId="0" applyNumberFormat="1" applyFont="1" applyBorder="1" applyAlignment="1" applyProtection="1">
      <alignment horizontal="center"/>
      <protection/>
    </xf>
    <xf numFmtId="186" fontId="6" fillId="0" borderId="10" xfId="0" applyNumberFormat="1" applyFont="1" applyBorder="1" applyAlignment="1" applyProtection="1">
      <alignment horizontal="center"/>
      <protection/>
    </xf>
    <xf numFmtId="180" fontId="6" fillId="0" borderId="10" xfId="0" applyNumberFormat="1" applyFont="1" applyBorder="1" applyAlignment="1" applyProtection="1">
      <alignment horizontal="center"/>
      <protection/>
    </xf>
    <xf numFmtId="0" fontId="0" fillId="41" borderId="30" xfId="0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 locked="0"/>
    </xf>
    <xf numFmtId="0" fontId="0" fillId="38" borderId="30" xfId="0" applyFill="1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right"/>
      <protection/>
    </xf>
    <xf numFmtId="0" fontId="7" fillId="40" borderId="26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vertical="center"/>
    </xf>
    <xf numFmtId="0" fontId="8" fillId="40" borderId="0" xfId="0" applyFont="1" applyFill="1" applyBorder="1" applyAlignment="1" applyProtection="1">
      <alignment horizontal="left"/>
      <protection/>
    </xf>
    <xf numFmtId="205" fontId="7" fillId="43" borderId="28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 applyProtection="1">
      <alignment horizontal="center"/>
      <protection locked="0"/>
    </xf>
    <xf numFmtId="177" fontId="0" fillId="34" borderId="14" xfId="0" applyNumberForma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56" fontId="69" fillId="0" borderId="0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2" fillId="44" borderId="10" xfId="0" applyFont="1" applyFill="1" applyBorder="1" applyAlignment="1" applyProtection="1">
      <alignment horizontal="center" vertical="center" shrinkToFit="1"/>
      <protection locked="0"/>
    </xf>
    <xf numFmtId="0" fontId="6" fillId="45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ill="1" applyBorder="1" applyAlignment="1" applyProtection="1">
      <alignment shrinkToFit="1"/>
      <protection locked="0"/>
    </xf>
    <xf numFmtId="14" fontId="0" fillId="0" borderId="10" xfId="0" applyNumberFormat="1" applyFill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201" fontId="7" fillId="0" borderId="14" xfId="0" applyNumberFormat="1" applyFont="1" applyBorder="1" applyAlignment="1" applyProtection="1">
      <alignment horizontal="center" shrinkToFit="1"/>
      <protection/>
    </xf>
    <xf numFmtId="182" fontId="65" fillId="0" borderId="10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201" fontId="7" fillId="0" borderId="12" xfId="0" applyNumberFormat="1" applyFont="1" applyBorder="1" applyAlignment="1" applyProtection="1">
      <alignment horizontal="center" shrinkToFit="1"/>
      <protection/>
    </xf>
    <xf numFmtId="201" fontId="8" fillId="0" borderId="14" xfId="0" applyNumberFormat="1" applyFont="1" applyBorder="1" applyAlignment="1" applyProtection="1">
      <alignment horizontal="center" shrinkToFit="1"/>
      <protection/>
    </xf>
    <xf numFmtId="181" fontId="7" fillId="0" borderId="14" xfId="0" applyNumberFormat="1" applyFont="1" applyBorder="1" applyAlignment="1" applyProtection="1">
      <alignment horizontal="center" shrinkToFit="1"/>
      <protection/>
    </xf>
    <xf numFmtId="0" fontId="7" fillId="0" borderId="14" xfId="0" applyFont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10" fillId="40" borderId="0" xfId="0" applyFont="1" applyFill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41" borderId="14" xfId="0" applyFill="1" applyBorder="1" applyAlignment="1" applyProtection="1">
      <alignment horizontal="center"/>
      <protection locked="0"/>
    </xf>
    <xf numFmtId="0" fontId="0" fillId="41" borderId="30" xfId="0" applyFill="1" applyBorder="1" applyAlignment="1" applyProtection="1">
      <alignment horizontal="center"/>
      <protection locked="0"/>
    </xf>
    <xf numFmtId="0" fontId="0" fillId="45" borderId="31" xfId="0" applyFill="1" applyBorder="1" applyAlignment="1" applyProtection="1">
      <alignment horizontal="center"/>
      <protection locked="0"/>
    </xf>
    <xf numFmtId="0" fontId="0" fillId="45" borderId="10" xfId="0" applyFill="1" applyBorder="1" applyAlignment="1" applyProtection="1">
      <alignment horizontal="center"/>
      <protection locked="0"/>
    </xf>
    <xf numFmtId="0" fontId="0" fillId="46" borderId="14" xfId="0" applyFill="1" applyBorder="1" applyAlignment="1" applyProtection="1">
      <alignment horizontal="center" shrinkToFit="1"/>
      <protection locked="0"/>
    </xf>
    <xf numFmtId="0" fontId="0" fillId="46" borderId="16" xfId="0" applyFill="1" applyBorder="1" applyAlignment="1" applyProtection="1">
      <alignment horizontal="center" shrinkToFit="1"/>
      <protection locked="0"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88" fontId="64" fillId="0" borderId="12" xfId="0" applyNumberFormat="1" applyFont="1" applyBorder="1" applyAlignment="1">
      <alignment horizontal="center"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35" borderId="10" xfId="0" applyFont="1" applyFill="1" applyBorder="1" applyAlignment="1">
      <alignment horizontal="center" vertical="center"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☆片足立ち☆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3575"/>
          <c:w val="0.921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'最終結果票'!$B$24</c:f>
              <c:strCache>
                <c:ptCount val="1"/>
                <c:pt idx="0">
                  <c:v>片足立ち（右）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'最終結果票'!$C$24:$D$24</c:f>
              <c:numCache/>
            </c:numRef>
          </c:val>
          <c:smooth val="0"/>
        </c:ser>
        <c:ser>
          <c:idx val="1"/>
          <c:order val="1"/>
          <c:tx>
            <c:strRef>
              <c:f>'最終結果票'!$B$25</c:f>
              <c:strCache>
                <c:ptCount val="1"/>
                <c:pt idx="0">
                  <c:v>片足立ち（左）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'最終結果票'!$C$25:$D$25</c:f>
              <c:numCache/>
            </c:numRef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2125"/>
          <c:w val="0.689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☆握力☆</a:t>
            </a:r>
          </a:p>
        </c:rich>
      </c:tx>
      <c:layout>
        <c:manualLayout>
          <c:xMode val="factor"/>
          <c:yMode val="factor"/>
          <c:x val="-0.005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4675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'最終結果票'!$B$21</c:f>
              <c:strCache>
                <c:ptCount val="1"/>
                <c:pt idx="0">
                  <c:v>握力（右）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'最終結果票'!$C$21:$D$21</c:f>
              <c:numCache/>
            </c:numRef>
          </c:val>
          <c:smooth val="0"/>
        </c:ser>
        <c:ser>
          <c:idx val="1"/>
          <c:order val="1"/>
          <c:tx>
            <c:strRef>
              <c:f>'最終結果票'!$B$22</c:f>
              <c:strCache>
                <c:ptCount val="1"/>
                <c:pt idx="0">
                  <c:v>握力（左）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'最終結果票'!$C$22:$D$22</c:f>
              <c:numCache/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57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425"/>
          <c:y val="0.89175"/>
          <c:w val="0.466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☆５ｍ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歩行☆</a:t>
            </a:r>
          </a:p>
        </c:rich>
      </c:tx>
      <c:layout>
        <c:manualLayout>
          <c:xMode val="factor"/>
          <c:yMode val="factor"/>
          <c:x val="0.03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275"/>
          <c:w val="0.982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'最終結果票'!$B$26</c:f>
              <c:strCache>
                <c:ptCount val="1"/>
                <c:pt idx="0">
                  <c:v>５ｍ歩行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'最終結果票'!$C$26:$D$26</c:f>
              <c:numCache/>
            </c:numRef>
          </c:val>
          <c:smooth val="0"/>
        </c:ser>
        <c:marker val="1"/>
        <c:axId val="30140277"/>
        <c:axId val="2827038"/>
      </c:lineChart>
      <c:dateAx>
        <c:axId val="30140277"/>
        <c:scaling>
          <c:orientation val="minMax"/>
        </c:scaling>
        <c:axPos val="t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2703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40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25"/>
          <c:y val="0.8985"/>
          <c:w val="0.2192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☆長座位前屈☆</a:t>
            </a:r>
          </a:p>
        </c:rich>
      </c:tx>
      <c:layout>
        <c:manualLayout>
          <c:xMode val="factor"/>
          <c:yMode val="factor"/>
          <c:x val="0.0707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44"/>
          <c:w val="0.9362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'最終結果票'!$B$27</c:f>
              <c:strCache>
                <c:ptCount val="1"/>
                <c:pt idx="0">
                  <c:v>長座位前屈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'最終結果票'!$C$27:$D$27</c:f>
              <c:numCache/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"/>
          <c:y val="0.865"/>
          <c:w val="0.29425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☆座位ステッピング☆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46"/>
          <c:w val="0.968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'最終結果票'!$B$23</c:f>
              <c:strCache>
                <c:ptCount val="1"/>
                <c:pt idx="0">
                  <c:v>座位ステッピング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'最終結果票'!$C$20:$D$20</c:f>
              <c:strCache/>
            </c:strRef>
          </c:cat>
          <c:val>
            <c:numRef>
              <c:f>'最終結果票'!$C$23:$D$23</c:f>
              <c:numCache/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64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89225"/>
          <c:w val="0.336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48125" y="376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5</xdr:col>
      <xdr:colOff>447675</xdr:colOff>
      <xdr:row>4</xdr:row>
      <xdr:rowOff>209550</xdr:rowOff>
    </xdr:to>
    <xdr:grpSp>
      <xdr:nvGrpSpPr>
        <xdr:cNvPr id="1" name="Group 12"/>
        <xdr:cNvGrpSpPr>
          <a:grpSpLocks/>
        </xdr:cNvGrpSpPr>
      </xdr:nvGrpSpPr>
      <xdr:grpSpPr>
        <a:xfrm>
          <a:off x="0" y="114300"/>
          <a:ext cx="6210300" cy="1200150"/>
          <a:chOff x="0" y="12"/>
          <a:chExt cx="587" cy="8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0" y="12"/>
            <a:ext cx="587" cy="81"/>
          </a:xfrm>
          <a:prstGeom prst="ribbon2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76" y="30"/>
            <a:ext cx="248" cy="3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2286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体力測定結果表</a:t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933825" y="524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409575</xdr:colOff>
      <xdr:row>6</xdr:row>
      <xdr:rowOff>66675</xdr:rowOff>
    </xdr:to>
    <xdr:grpSp>
      <xdr:nvGrpSpPr>
        <xdr:cNvPr id="1" name="Group 24"/>
        <xdr:cNvGrpSpPr>
          <a:grpSpLocks/>
        </xdr:cNvGrpSpPr>
      </xdr:nvGrpSpPr>
      <xdr:grpSpPr>
        <a:xfrm>
          <a:off x="0" y="76200"/>
          <a:ext cx="5715000" cy="809625"/>
          <a:chOff x="0" y="10"/>
          <a:chExt cx="598" cy="80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0" y="10"/>
            <a:ext cx="598" cy="80"/>
          </a:xfrm>
          <a:prstGeom prst="ribbon2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180" y="28"/>
            <a:ext cx="226" cy="3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体力測定結果表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152400</xdr:rowOff>
    </xdr:from>
    <xdr:to>
      <xdr:col>3</xdr:col>
      <xdr:colOff>352425</xdr:colOff>
      <xdr:row>50</xdr:row>
      <xdr:rowOff>123825</xdr:rowOff>
    </xdr:to>
    <xdr:graphicFrame>
      <xdr:nvGraphicFramePr>
        <xdr:cNvPr id="4" name="Chart 18"/>
        <xdr:cNvGraphicFramePr/>
      </xdr:nvGraphicFramePr>
      <xdr:xfrm>
        <a:off x="0" y="6934200"/>
        <a:ext cx="3581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76200</xdr:rowOff>
    </xdr:from>
    <xdr:to>
      <xdr:col>3</xdr:col>
      <xdr:colOff>352425</xdr:colOff>
      <xdr:row>38</xdr:row>
      <xdr:rowOff>104775</xdr:rowOff>
    </xdr:to>
    <xdr:graphicFrame>
      <xdr:nvGraphicFramePr>
        <xdr:cNvPr id="5" name="Chart 19"/>
        <xdr:cNvGraphicFramePr/>
      </xdr:nvGraphicFramePr>
      <xdr:xfrm>
        <a:off x="0" y="4867275"/>
        <a:ext cx="35814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409575</xdr:colOff>
      <xdr:row>38</xdr:row>
      <xdr:rowOff>152400</xdr:rowOff>
    </xdr:from>
    <xdr:to>
      <xdr:col>6</xdr:col>
      <xdr:colOff>952500</xdr:colOff>
      <xdr:row>50</xdr:row>
      <xdr:rowOff>133350</xdr:rowOff>
    </xdr:to>
    <xdr:graphicFrame>
      <xdr:nvGraphicFramePr>
        <xdr:cNvPr id="6" name="Chart 21"/>
        <xdr:cNvGraphicFramePr/>
      </xdr:nvGraphicFramePr>
      <xdr:xfrm>
        <a:off x="3638550" y="6934200"/>
        <a:ext cx="35623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50</xdr:row>
      <xdr:rowOff>161925</xdr:rowOff>
    </xdr:from>
    <xdr:to>
      <xdr:col>3</xdr:col>
      <xdr:colOff>352425</xdr:colOff>
      <xdr:row>62</xdr:row>
      <xdr:rowOff>123825</xdr:rowOff>
    </xdr:to>
    <xdr:graphicFrame>
      <xdr:nvGraphicFramePr>
        <xdr:cNvPr id="7" name="Chart 22"/>
        <xdr:cNvGraphicFramePr/>
      </xdr:nvGraphicFramePr>
      <xdr:xfrm>
        <a:off x="0" y="9115425"/>
        <a:ext cx="358140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27</xdr:row>
      <xdr:rowOff>76200</xdr:rowOff>
    </xdr:from>
    <xdr:to>
      <xdr:col>6</xdr:col>
      <xdr:colOff>952500</xdr:colOff>
      <xdr:row>38</xdr:row>
      <xdr:rowOff>114300</xdr:rowOff>
    </xdr:to>
    <xdr:graphicFrame>
      <xdr:nvGraphicFramePr>
        <xdr:cNvPr id="8" name="Chart 26"/>
        <xdr:cNvGraphicFramePr/>
      </xdr:nvGraphicFramePr>
      <xdr:xfrm>
        <a:off x="3629025" y="4867275"/>
        <a:ext cx="357187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51</xdr:row>
      <xdr:rowOff>28575</xdr:rowOff>
    </xdr:from>
    <xdr:to>
      <xdr:col>6</xdr:col>
      <xdr:colOff>828675</xdr:colOff>
      <xdr:row>61</xdr:row>
      <xdr:rowOff>47625</xdr:rowOff>
    </xdr:to>
    <xdr:grpSp>
      <xdr:nvGrpSpPr>
        <xdr:cNvPr id="9" name="グループ化 15"/>
        <xdr:cNvGrpSpPr>
          <a:grpSpLocks/>
        </xdr:cNvGrpSpPr>
      </xdr:nvGrpSpPr>
      <xdr:grpSpPr>
        <a:xfrm>
          <a:off x="3705225" y="9163050"/>
          <a:ext cx="3371850" cy="1924050"/>
          <a:chOff x="3705226" y="9144000"/>
          <a:chExt cx="3371850" cy="1828799"/>
        </a:xfrm>
        <a:solidFill>
          <a:srgbClr val="FFFFFF"/>
        </a:solidFill>
      </xdr:grpSpPr>
      <xdr:sp>
        <xdr:nvSpPr>
          <xdr:cNvPr id="10" name="角丸四角形吹き出し 14"/>
          <xdr:cNvSpPr>
            <a:spLocks/>
          </xdr:cNvSpPr>
        </xdr:nvSpPr>
        <xdr:spPr>
          <a:xfrm>
            <a:off x="3705226" y="9144000"/>
            <a:ext cx="3371850" cy="1828799"/>
          </a:xfrm>
          <a:prstGeom prst="wedgeRoundRectCallout">
            <a:avLst>
              <a:gd name="adj1" fmla="val -1347"/>
              <a:gd name="adj2" fmla="val 59050"/>
            </a:avLst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13"/>
          <xdr:cNvSpPr txBox="1">
            <a:spLocks noChangeArrowheads="1"/>
          </xdr:cNvSpPr>
        </xdr:nvSpPr>
        <xdr:spPr>
          <a:xfrm>
            <a:off x="3905008" y="9181948"/>
            <a:ext cx="3028764" cy="1752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コメント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G30"/>
  <sheetViews>
    <sheetView tabSelected="1" zoomScalePageLayoutView="0" workbookViewId="0" topLeftCell="A1">
      <selection activeCell="H27" sqref="H27"/>
    </sheetView>
  </sheetViews>
  <sheetFormatPr defaultColWidth="9.00390625" defaultRowHeight="13.5"/>
  <cols>
    <col min="1" max="1" width="10.00390625" style="0" bestFit="1" customWidth="1"/>
    <col min="2" max="2" width="20.375" style="0" bestFit="1" customWidth="1"/>
    <col min="3" max="3" width="22.75390625" style="0" customWidth="1"/>
    <col min="5" max="5" width="9.375" style="0" bestFit="1" customWidth="1"/>
  </cols>
  <sheetData>
    <row r="1" spans="1:6" ht="13.5">
      <c r="A1" s="109"/>
      <c r="B1" s="109"/>
      <c r="C1" s="109"/>
      <c r="D1" s="109"/>
      <c r="E1" s="109"/>
      <c r="F1" s="109"/>
    </row>
    <row r="2" spans="1:6" ht="36.75" customHeight="1" thickBot="1">
      <c r="A2" s="202" t="s">
        <v>124</v>
      </c>
      <c r="B2" s="202"/>
      <c r="C2" s="202"/>
      <c r="D2" s="202"/>
      <c r="E2" s="109"/>
      <c r="F2" s="109"/>
    </row>
    <row r="3" spans="1:6" ht="36.75" customHeight="1" thickBot="1">
      <c r="A3" s="110"/>
      <c r="B3" s="111" t="s">
        <v>23</v>
      </c>
      <c r="C3" s="108">
        <v>39646</v>
      </c>
      <c r="D3" s="178" t="s">
        <v>141</v>
      </c>
      <c r="E3" s="181">
        <v>1</v>
      </c>
      <c r="F3" s="179"/>
    </row>
    <row r="4" spans="1:6" ht="10.5" customHeight="1" thickBot="1">
      <c r="A4" s="109"/>
      <c r="B4" s="109"/>
      <c r="C4" s="109"/>
      <c r="D4" s="109"/>
      <c r="E4" s="109"/>
      <c r="F4" s="109"/>
    </row>
    <row r="5" spans="1:7" ht="18.75" customHeight="1">
      <c r="A5" s="112"/>
      <c r="B5" s="113" t="s">
        <v>123</v>
      </c>
      <c r="C5" s="97" t="s">
        <v>147</v>
      </c>
      <c r="D5" s="114"/>
      <c r="E5" s="115"/>
      <c r="F5" s="114"/>
      <c r="G5" s="30">
        <f>IF(G32&gt;0,IF(G32=1,"男","女"),"")</f>
      </c>
    </row>
    <row r="6" spans="1:7" ht="17.25">
      <c r="A6" s="112"/>
      <c r="B6" s="113" t="s">
        <v>1</v>
      </c>
      <c r="C6" s="98">
        <v>70</v>
      </c>
      <c r="D6" s="116"/>
      <c r="E6" s="115"/>
      <c r="F6" s="116"/>
      <c r="G6" s="30"/>
    </row>
    <row r="7" spans="1:7" ht="18" thickBot="1">
      <c r="A7" s="112"/>
      <c r="B7" s="113" t="s">
        <v>125</v>
      </c>
      <c r="C7" s="99">
        <v>1</v>
      </c>
      <c r="D7" s="112"/>
      <c r="E7" s="115"/>
      <c r="F7" s="116"/>
      <c r="G7" s="30"/>
    </row>
    <row r="8" spans="1:7" ht="12.75" customHeight="1">
      <c r="A8" s="117"/>
      <c r="B8" s="112"/>
      <c r="C8" s="118"/>
      <c r="D8" s="112"/>
      <c r="E8" s="115"/>
      <c r="F8" s="116"/>
      <c r="G8" s="30"/>
    </row>
    <row r="9" spans="1:7" ht="17.25">
      <c r="A9" s="117"/>
      <c r="B9" s="112" t="s">
        <v>3</v>
      </c>
      <c r="C9" s="119"/>
      <c r="D9" s="120"/>
      <c r="E9" s="120"/>
      <c r="F9" s="120"/>
      <c r="G9" s="24"/>
    </row>
    <row r="10" spans="1:7" ht="18" thickBot="1">
      <c r="A10" s="117"/>
      <c r="B10" s="121"/>
      <c r="C10" s="122" t="s">
        <v>140</v>
      </c>
      <c r="D10" s="180" t="s">
        <v>142</v>
      </c>
      <c r="E10" s="124"/>
      <c r="F10" s="120"/>
      <c r="G10" s="24"/>
    </row>
    <row r="11" spans="1:7" ht="17.25">
      <c r="A11" s="117"/>
      <c r="B11" s="125" t="s">
        <v>11</v>
      </c>
      <c r="C11" s="100">
        <v>160</v>
      </c>
      <c r="D11" s="126" t="s">
        <v>145</v>
      </c>
      <c r="E11" s="124"/>
      <c r="F11" s="120"/>
      <c r="G11" s="24"/>
    </row>
    <row r="12" spans="1:7" ht="17.25">
      <c r="A12" s="117"/>
      <c r="B12" s="125" t="s">
        <v>12</v>
      </c>
      <c r="C12" s="101">
        <v>57</v>
      </c>
      <c r="D12" s="126"/>
      <c r="E12" s="124"/>
      <c r="F12" s="120"/>
      <c r="G12" s="24"/>
    </row>
    <row r="13" spans="1:7" ht="17.25">
      <c r="A13" s="117"/>
      <c r="B13" s="127" t="s">
        <v>6</v>
      </c>
      <c r="C13" s="102">
        <v>28</v>
      </c>
      <c r="D13" s="128"/>
      <c r="E13" s="124"/>
      <c r="F13" s="120"/>
      <c r="G13" s="24"/>
    </row>
    <row r="14" spans="1:7" ht="17.25">
      <c r="A14" s="117"/>
      <c r="B14" s="125" t="s">
        <v>7</v>
      </c>
      <c r="C14" s="98">
        <v>130</v>
      </c>
      <c r="D14" s="129"/>
      <c r="E14" s="124"/>
      <c r="F14" s="120"/>
      <c r="G14" s="24"/>
    </row>
    <row r="15" spans="1:7" ht="18" thickBot="1">
      <c r="A15" s="117"/>
      <c r="B15" s="125" t="s">
        <v>8</v>
      </c>
      <c r="C15" s="99">
        <v>60</v>
      </c>
      <c r="D15" s="130"/>
      <c r="E15" s="124"/>
      <c r="F15" s="120"/>
      <c r="G15" s="24"/>
    </row>
    <row r="16" spans="1:7" ht="9.75" customHeight="1">
      <c r="A16" s="117"/>
      <c r="B16" s="120"/>
      <c r="C16" s="119"/>
      <c r="D16" s="120"/>
      <c r="E16" s="120"/>
      <c r="F16" s="120"/>
      <c r="G16" s="24"/>
    </row>
    <row r="17" spans="1:7" ht="17.25">
      <c r="A17" s="117"/>
      <c r="B17" s="112" t="s">
        <v>18</v>
      </c>
      <c r="C17" s="119"/>
      <c r="D17" s="120"/>
      <c r="E17" s="120"/>
      <c r="F17" s="120"/>
      <c r="G17" s="24"/>
    </row>
    <row r="18" spans="1:7" ht="18" thickBot="1">
      <c r="A18" s="131" t="s">
        <v>53</v>
      </c>
      <c r="B18" s="132" t="s">
        <v>52</v>
      </c>
      <c r="C18" s="136" t="s">
        <v>140</v>
      </c>
      <c r="D18" s="133"/>
      <c r="E18" s="126"/>
      <c r="F18" s="109"/>
      <c r="G18" s="24"/>
    </row>
    <row r="19" spans="1:7" ht="17.25">
      <c r="A19" s="203" t="s">
        <v>50</v>
      </c>
      <c r="B19" s="134" t="s">
        <v>15</v>
      </c>
      <c r="C19" s="103">
        <v>13</v>
      </c>
      <c r="D19" s="123"/>
      <c r="E19" s="135"/>
      <c r="F19" s="109"/>
      <c r="G19" s="24"/>
    </row>
    <row r="20" spans="1:7" ht="17.25">
      <c r="A20" s="203"/>
      <c r="B20" s="134" t="s">
        <v>16</v>
      </c>
      <c r="C20" s="101">
        <v>17</v>
      </c>
      <c r="D20" s="123"/>
      <c r="E20" s="116"/>
      <c r="F20" s="109"/>
      <c r="G20" s="24"/>
    </row>
    <row r="21" spans="1:7" ht="17.25">
      <c r="A21" s="53" t="s">
        <v>102</v>
      </c>
      <c r="B21" s="134" t="s">
        <v>49</v>
      </c>
      <c r="C21" s="104">
        <v>24</v>
      </c>
      <c r="D21" s="123"/>
      <c r="E21" s="116"/>
      <c r="F21" s="109"/>
      <c r="G21" s="24"/>
    </row>
    <row r="22" spans="1:7" ht="17.25">
      <c r="A22" s="203" t="s">
        <v>107</v>
      </c>
      <c r="B22" s="134" t="s">
        <v>31</v>
      </c>
      <c r="C22" s="105">
        <v>9</v>
      </c>
      <c r="D22" s="123"/>
      <c r="E22" s="116"/>
      <c r="F22" s="109"/>
      <c r="G22" s="24"/>
    </row>
    <row r="23" spans="1:7" ht="17.25">
      <c r="A23" s="203"/>
      <c r="B23" s="134" t="s">
        <v>32</v>
      </c>
      <c r="C23" s="105">
        <v>10</v>
      </c>
      <c r="D23" s="123"/>
      <c r="E23" s="116"/>
      <c r="F23" s="109"/>
      <c r="G23" s="24"/>
    </row>
    <row r="24" spans="1:7" ht="17.25">
      <c r="A24" s="53" t="s">
        <v>51</v>
      </c>
      <c r="B24" s="134" t="s">
        <v>17</v>
      </c>
      <c r="C24" s="105">
        <v>2</v>
      </c>
      <c r="D24" s="123"/>
      <c r="E24" s="116"/>
      <c r="F24" s="109"/>
      <c r="G24" s="24"/>
    </row>
    <row r="25" spans="1:7" ht="18" thickBot="1">
      <c r="A25" s="53" t="s">
        <v>122</v>
      </c>
      <c r="B25" s="134" t="s">
        <v>33</v>
      </c>
      <c r="C25" s="106">
        <v>20</v>
      </c>
      <c r="D25" s="123"/>
      <c r="E25" s="116"/>
      <c r="F25" s="109"/>
      <c r="G25" s="24"/>
    </row>
    <row r="26" spans="1:6" ht="13.5">
      <c r="A26" s="109"/>
      <c r="B26" s="109"/>
      <c r="C26" s="109"/>
      <c r="D26" s="109"/>
      <c r="E26" s="109"/>
      <c r="F26" s="109"/>
    </row>
    <row r="27" spans="1:6" ht="13.5">
      <c r="A27" s="109"/>
      <c r="B27" s="109"/>
      <c r="C27" s="109"/>
      <c r="D27" s="109"/>
      <c r="E27" s="109"/>
      <c r="F27" s="109"/>
    </row>
    <row r="28" spans="1:6" ht="13.5">
      <c r="A28" s="109"/>
      <c r="B28" s="109"/>
      <c r="C28" s="109"/>
      <c r="D28" s="109"/>
      <c r="E28" s="109"/>
      <c r="F28" s="109"/>
    </row>
    <row r="29" spans="1:6" ht="13.5">
      <c r="A29" s="109"/>
      <c r="B29" s="109"/>
      <c r="C29" s="109"/>
      <c r="D29" s="109"/>
      <c r="E29" s="109"/>
      <c r="F29" s="109"/>
    </row>
    <row r="30" spans="1:6" ht="13.5">
      <c r="A30" s="109"/>
      <c r="B30" s="109"/>
      <c r="C30" s="109"/>
      <c r="D30" s="109"/>
      <c r="E30" s="109"/>
      <c r="F30" s="109"/>
    </row>
  </sheetData>
  <sheetProtection/>
  <mergeCells count="3">
    <mergeCell ref="A2:D2"/>
    <mergeCell ref="A19:A20"/>
    <mergeCell ref="A22:A23"/>
  </mergeCells>
  <dataValidations count="3">
    <dataValidation type="list" allowBlank="1" showInputMessage="1" showErrorMessage="1" sqref="E3">
      <formula1>"1,2"</formula1>
    </dataValidation>
    <dataValidation allowBlank="1" showInputMessage="1" showErrorMessage="1" imeMode="on" sqref="C5"/>
    <dataValidation allowBlank="1" showInputMessage="1" showErrorMessage="1" imeMode="off" sqref="C6 C7 C3 C11:C15 C19:C25"/>
  </dataValidations>
  <printOptions/>
  <pageMargins left="0.787" right="0.787" top="0.984" bottom="0.984" header="0.512" footer="0.51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AV82"/>
  <sheetViews>
    <sheetView zoomScalePageLayoutView="0" workbookViewId="0" topLeftCell="A1">
      <pane xSplit="2" topLeftCell="C1" activePane="topRight" state="frozen"/>
      <selection pane="topLeft" activeCell="F15" sqref="F15"/>
      <selection pane="topRight" activeCell="F17" sqref="F17"/>
    </sheetView>
  </sheetViews>
  <sheetFormatPr defaultColWidth="9.00390625" defaultRowHeight="13.5"/>
  <cols>
    <col min="1" max="1" width="7.125" style="5" bestFit="1" customWidth="1"/>
    <col min="2" max="2" width="9.00390625" style="5" bestFit="1" customWidth="1"/>
    <col min="3" max="3" width="10.25390625" style="5" bestFit="1" customWidth="1"/>
    <col min="4" max="4" width="10.875" style="5" bestFit="1" customWidth="1"/>
    <col min="5" max="5" width="11.625" style="5" bestFit="1" customWidth="1"/>
    <col min="6" max="6" width="8.75390625" style="5" bestFit="1" customWidth="1"/>
    <col min="7" max="7" width="9.375" style="5" bestFit="1" customWidth="1"/>
    <col min="8" max="8" width="9.00390625" style="5" customWidth="1"/>
    <col min="9" max="9" width="9.625" style="21" bestFit="1" customWidth="1"/>
    <col min="10" max="10" width="9.875" style="5" customWidth="1"/>
    <col min="11" max="11" width="8.125" style="5" bestFit="1" customWidth="1"/>
    <col min="12" max="12" width="9.625" style="5" customWidth="1"/>
    <col min="13" max="13" width="10.00390625" style="5" bestFit="1" customWidth="1"/>
    <col min="14" max="14" width="9.75390625" style="5" bestFit="1" customWidth="1"/>
    <col min="15" max="15" width="10.00390625" style="5" bestFit="1" customWidth="1"/>
    <col min="16" max="16" width="9.625" style="5" bestFit="1" customWidth="1"/>
    <col min="17" max="17" width="9.625" style="5" customWidth="1"/>
    <col min="18" max="22" width="9.00390625" style="5" customWidth="1"/>
    <col min="23" max="23" width="7.125" style="5" customWidth="1"/>
    <col min="24" max="24" width="10.00390625" style="5" bestFit="1" customWidth="1"/>
    <col min="25" max="26" width="11.125" style="5" bestFit="1" customWidth="1"/>
    <col min="27" max="27" width="9.375" style="5" customWidth="1"/>
    <col min="28" max="30" width="9.00390625" style="5" customWidth="1"/>
    <col min="31" max="31" width="9.00390625" style="193" customWidth="1"/>
    <col min="32" max="32" width="9.625" style="193" bestFit="1" customWidth="1"/>
    <col min="33" max="33" width="9.00390625" style="5" customWidth="1"/>
    <col min="34" max="35" width="11.125" style="5" bestFit="1" customWidth="1"/>
    <col min="36" max="36" width="9.375" style="5" bestFit="1" customWidth="1"/>
    <col min="37" max="37" width="7.625" style="5" bestFit="1" customWidth="1"/>
    <col min="38" max="40" width="9.00390625" style="5" customWidth="1"/>
    <col min="41" max="41" width="7.125" style="5" bestFit="1" customWidth="1"/>
    <col min="42" max="42" width="9.00390625" style="5" customWidth="1"/>
    <col min="43" max="43" width="11.25390625" style="5" customWidth="1"/>
    <col min="44" max="44" width="11.125" style="5" bestFit="1" customWidth="1"/>
    <col min="45" max="45" width="9.375" style="5" bestFit="1" customWidth="1"/>
    <col min="46" max="46" width="7.625" style="5" bestFit="1" customWidth="1"/>
    <col min="47" max="16384" width="9.00390625" style="5" customWidth="1"/>
  </cols>
  <sheetData>
    <row r="1" spans="1:32" s="2" customFormat="1" ht="18" customHeight="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  <c r="AA1" s="2">
        <v>27</v>
      </c>
      <c r="AB1" s="2">
        <v>28</v>
      </c>
      <c r="AC1" s="2">
        <v>29</v>
      </c>
      <c r="AD1" s="2">
        <v>30</v>
      </c>
      <c r="AE1" s="187">
        <v>31</v>
      </c>
      <c r="AF1" s="187">
        <v>32</v>
      </c>
    </row>
    <row r="2" spans="2:32" s="2" customFormat="1" ht="22.5" customHeight="1">
      <c r="B2" s="184"/>
      <c r="C2" s="185"/>
      <c r="D2" s="186"/>
      <c r="E2" s="185"/>
      <c r="F2" s="81"/>
      <c r="G2" s="82"/>
      <c r="H2" s="82"/>
      <c r="I2" s="80"/>
      <c r="J2" s="83"/>
      <c r="R2" s="107" t="s">
        <v>126</v>
      </c>
      <c r="S2" s="107">
        <f>COUNTA(B6:B35)</f>
        <v>0</v>
      </c>
      <c r="AE2" s="187"/>
      <c r="AF2" s="187"/>
    </row>
    <row r="3" spans="1:32" s="2" customFormat="1" ht="19.5" customHeight="1">
      <c r="A3" s="2">
        <v>5</v>
      </c>
      <c r="I3" s="3"/>
      <c r="AE3" s="187"/>
      <c r="AF3" s="187"/>
    </row>
    <row r="4" spans="1:47" ht="17.25" customHeight="1">
      <c r="A4" s="4"/>
      <c r="B4" s="204" t="s">
        <v>121</v>
      </c>
      <c r="C4" s="205"/>
      <c r="D4" s="206"/>
      <c r="E4" s="207" t="s">
        <v>133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166"/>
      <c r="S4" s="209" t="s">
        <v>134</v>
      </c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 t="s">
        <v>23</v>
      </c>
      <c r="AF4" s="212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ht="13.5">
      <c r="A5" s="6" t="s">
        <v>24</v>
      </c>
      <c r="B5" s="6" t="s">
        <v>13</v>
      </c>
      <c r="C5" s="6" t="s">
        <v>1</v>
      </c>
      <c r="D5" s="6" t="s">
        <v>2</v>
      </c>
      <c r="E5" s="6" t="s">
        <v>4</v>
      </c>
      <c r="F5" s="7" t="s">
        <v>5</v>
      </c>
      <c r="G5" s="6" t="s">
        <v>14</v>
      </c>
      <c r="H5" s="8" t="s">
        <v>7</v>
      </c>
      <c r="I5" s="84" t="s">
        <v>8</v>
      </c>
      <c r="J5" s="94" t="s">
        <v>15</v>
      </c>
      <c r="K5" s="96" t="s">
        <v>16</v>
      </c>
      <c r="L5" s="94" t="s">
        <v>120</v>
      </c>
      <c r="M5" s="9" t="s">
        <v>100</v>
      </c>
      <c r="N5" s="9" t="s">
        <v>101</v>
      </c>
      <c r="O5" s="92" t="s">
        <v>19</v>
      </c>
      <c r="P5" s="94" t="s">
        <v>33</v>
      </c>
      <c r="Q5" s="22" t="s">
        <v>20</v>
      </c>
      <c r="R5" s="176" t="s">
        <v>28</v>
      </c>
      <c r="S5" s="167" t="s">
        <v>5</v>
      </c>
      <c r="T5" s="6" t="s">
        <v>14</v>
      </c>
      <c r="U5" s="8" t="s">
        <v>7</v>
      </c>
      <c r="V5" s="8" t="s">
        <v>8</v>
      </c>
      <c r="W5" s="94" t="s">
        <v>15</v>
      </c>
      <c r="X5" s="94" t="s">
        <v>16</v>
      </c>
      <c r="Y5" s="94" t="s">
        <v>98</v>
      </c>
      <c r="Z5" s="94" t="s">
        <v>100</v>
      </c>
      <c r="AA5" s="94" t="s">
        <v>101</v>
      </c>
      <c r="AB5" s="94" t="s">
        <v>19</v>
      </c>
      <c r="AC5" s="94" t="s">
        <v>33</v>
      </c>
      <c r="AD5" s="182" t="s">
        <v>20</v>
      </c>
      <c r="AE5" s="188" t="s">
        <v>143</v>
      </c>
      <c r="AF5" s="189" t="s">
        <v>144</v>
      </c>
      <c r="AG5" s="93"/>
      <c r="AH5" s="89"/>
      <c r="AI5" s="89"/>
      <c r="AJ5" s="93"/>
      <c r="AK5" s="89"/>
      <c r="AL5" s="95"/>
      <c r="AM5" s="89"/>
      <c r="AN5" s="89"/>
      <c r="AO5" s="89"/>
      <c r="AP5" s="93"/>
      <c r="AQ5" s="89"/>
      <c r="AR5" s="89"/>
      <c r="AS5" s="93"/>
      <c r="AT5" s="89"/>
      <c r="AU5" s="95"/>
    </row>
    <row r="6" spans="1:47" ht="13.5">
      <c r="A6" s="4">
        <v>1</v>
      </c>
      <c r="B6" s="4"/>
      <c r="C6" s="10"/>
      <c r="D6" s="10"/>
      <c r="E6" s="11"/>
      <c r="F6" s="11"/>
      <c r="G6" s="11"/>
      <c r="H6" s="12"/>
      <c r="I6" s="85"/>
      <c r="J6" s="11"/>
      <c r="K6" s="90"/>
      <c r="L6" s="11"/>
      <c r="M6" s="11"/>
      <c r="N6" s="11"/>
      <c r="O6" s="87"/>
      <c r="P6" s="11"/>
      <c r="Q6" s="23">
        <f>IF(OR(E6="",F6=""),"",F6/(E6/100)^2)</f>
      </c>
      <c r="R6" s="177">
        <f>D6*1000+C6</f>
        <v>0</v>
      </c>
      <c r="S6" s="168"/>
      <c r="T6" s="13"/>
      <c r="U6" s="13"/>
      <c r="V6" s="13"/>
      <c r="W6" s="13"/>
      <c r="X6" s="13"/>
      <c r="Y6" s="13"/>
      <c r="Z6" s="13"/>
      <c r="AA6" s="13"/>
      <c r="AB6" s="13"/>
      <c r="AC6" s="13"/>
      <c r="AD6" s="183">
        <f>IF(OR(E6="",S6=""),"",S6/(E6/100)^2)</f>
      </c>
      <c r="AE6" s="191"/>
      <c r="AF6" s="191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</row>
    <row r="7" spans="1:47" ht="13.5">
      <c r="A7" s="4">
        <v>2</v>
      </c>
      <c r="B7" s="14"/>
      <c r="C7" s="10"/>
      <c r="D7" s="10"/>
      <c r="E7" s="11"/>
      <c r="F7" s="11"/>
      <c r="G7" s="11"/>
      <c r="H7" s="12"/>
      <c r="I7" s="85"/>
      <c r="J7" s="11"/>
      <c r="K7" s="90"/>
      <c r="L7" s="11"/>
      <c r="M7" s="13"/>
      <c r="N7" s="11"/>
      <c r="O7" s="87"/>
      <c r="P7" s="11"/>
      <c r="Q7" s="23">
        <f aca="true" t="shared" si="0" ref="Q7:Q35">IF(OR(E7="",F7=""),"",F7/(E7/100)^2)</f>
      </c>
      <c r="R7" s="177">
        <f aca="true" t="shared" si="1" ref="R7:R35">D7*1000+C7</f>
        <v>0</v>
      </c>
      <c r="S7" s="168"/>
      <c r="T7" s="13"/>
      <c r="U7" s="13"/>
      <c r="V7" s="13"/>
      <c r="W7" s="13"/>
      <c r="X7" s="13"/>
      <c r="Y7" s="13"/>
      <c r="Z7" s="13"/>
      <c r="AA7" s="13"/>
      <c r="AB7" s="13"/>
      <c r="AC7" s="13"/>
      <c r="AD7" s="183">
        <f aca="true" t="shared" si="2" ref="AD7:AD35">IF(OR(E7="",S7=""),"",S7/(E7/100)^2)</f>
      </c>
      <c r="AE7" s="191"/>
      <c r="AF7" s="191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</row>
    <row r="8" spans="1:47" ht="13.5">
      <c r="A8" s="4">
        <v>3</v>
      </c>
      <c r="B8" s="14"/>
      <c r="C8" s="10"/>
      <c r="D8" s="10"/>
      <c r="E8" s="11"/>
      <c r="F8" s="11"/>
      <c r="G8" s="11"/>
      <c r="H8" s="12"/>
      <c r="I8" s="85"/>
      <c r="J8" s="11"/>
      <c r="K8" s="90"/>
      <c r="L8" s="11"/>
      <c r="M8" s="13"/>
      <c r="N8" s="11"/>
      <c r="O8" s="87"/>
      <c r="P8" s="11"/>
      <c r="Q8" s="23">
        <f t="shared" si="0"/>
      </c>
      <c r="R8" s="177">
        <f t="shared" si="1"/>
        <v>0</v>
      </c>
      <c r="S8" s="168"/>
      <c r="T8" s="13"/>
      <c r="U8" s="13"/>
      <c r="V8" s="13"/>
      <c r="W8" s="13"/>
      <c r="X8" s="13"/>
      <c r="Y8" s="13"/>
      <c r="Z8" s="13"/>
      <c r="AA8" s="13"/>
      <c r="AB8" s="13"/>
      <c r="AC8" s="13"/>
      <c r="AD8" s="183">
        <f t="shared" si="2"/>
      </c>
      <c r="AE8" s="191"/>
      <c r="AF8" s="191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</row>
    <row r="9" spans="1:47" ht="13.5">
      <c r="A9" s="4">
        <v>4</v>
      </c>
      <c r="B9" s="14"/>
      <c r="C9" s="10"/>
      <c r="D9" s="10"/>
      <c r="E9" s="11"/>
      <c r="F9" s="11"/>
      <c r="G9" s="11"/>
      <c r="H9" s="12"/>
      <c r="I9" s="85"/>
      <c r="J9" s="11"/>
      <c r="K9" s="90"/>
      <c r="L9" s="11"/>
      <c r="M9" s="13"/>
      <c r="N9" s="11"/>
      <c r="O9" s="87"/>
      <c r="P9" s="11"/>
      <c r="Q9" s="23">
        <f t="shared" si="0"/>
      </c>
      <c r="R9" s="177">
        <f t="shared" si="1"/>
        <v>0</v>
      </c>
      <c r="S9" s="168"/>
      <c r="T9" s="13"/>
      <c r="U9" s="13"/>
      <c r="V9" s="13"/>
      <c r="W9" s="13"/>
      <c r="X9" s="13"/>
      <c r="Y9" s="13"/>
      <c r="Z9" s="13"/>
      <c r="AA9" s="13"/>
      <c r="AB9" s="13"/>
      <c r="AC9" s="13"/>
      <c r="AD9" s="183">
        <f t="shared" si="2"/>
      </c>
      <c r="AE9" s="191"/>
      <c r="AF9" s="191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</row>
    <row r="10" spans="1:47" ht="13.5">
      <c r="A10" s="4">
        <v>5</v>
      </c>
      <c r="B10" s="14"/>
      <c r="C10" s="10"/>
      <c r="D10" s="10"/>
      <c r="E10" s="11"/>
      <c r="F10" s="11"/>
      <c r="G10" s="11"/>
      <c r="H10" s="12"/>
      <c r="I10" s="85"/>
      <c r="J10" s="11"/>
      <c r="K10" s="90"/>
      <c r="L10" s="11"/>
      <c r="M10" s="11"/>
      <c r="N10" s="11"/>
      <c r="O10" s="87"/>
      <c r="P10" s="11"/>
      <c r="Q10" s="23">
        <f t="shared" si="0"/>
      </c>
      <c r="R10" s="177">
        <f t="shared" si="1"/>
        <v>0</v>
      </c>
      <c r="S10" s="168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83">
        <f t="shared" si="2"/>
      </c>
      <c r="AE10" s="190"/>
      <c r="AF10" s="190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</row>
    <row r="11" spans="1:47" ht="13.5">
      <c r="A11" s="4">
        <v>6</v>
      </c>
      <c r="B11" s="14"/>
      <c r="C11" s="10"/>
      <c r="D11" s="10"/>
      <c r="E11" s="11"/>
      <c r="F11" s="11"/>
      <c r="G11" s="11"/>
      <c r="H11" s="12"/>
      <c r="I11" s="85"/>
      <c r="J11" s="11"/>
      <c r="K11" s="90"/>
      <c r="L11" s="11"/>
      <c r="M11" s="11"/>
      <c r="N11" s="11"/>
      <c r="O11" s="87"/>
      <c r="P11" s="11"/>
      <c r="Q11" s="23">
        <f t="shared" si="0"/>
      </c>
      <c r="R11" s="177">
        <f>D11*1000+C11</f>
        <v>0</v>
      </c>
      <c r="S11" s="168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83">
        <f t="shared" si="2"/>
      </c>
      <c r="AE11" s="190"/>
      <c r="AF11" s="190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</row>
    <row r="12" spans="1:47" ht="13.5">
      <c r="A12" s="4">
        <v>7</v>
      </c>
      <c r="B12" s="14"/>
      <c r="C12" s="10"/>
      <c r="D12" s="10"/>
      <c r="E12" s="11"/>
      <c r="F12" s="11"/>
      <c r="G12" s="11"/>
      <c r="H12" s="12"/>
      <c r="I12" s="85"/>
      <c r="J12" s="11"/>
      <c r="K12" s="90"/>
      <c r="L12" s="11"/>
      <c r="M12" s="13"/>
      <c r="N12" s="11"/>
      <c r="O12" s="87"/>
      <c r="P12" s="11"/>
      <c r="Q12" s="23">
        <f t="shared" si="0"/>
      </c>
      <c r="R12" s="177">
        <f t="shared" si="1"/>
        <v>0</v>
      </c>
      <c r="S12" s="168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83">
        <f t="shared" si="2"/>
      </c>
      <c r="AE12" s="190"/>
      <c r="AF12" s="190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</row>
    <row r="13" spans="1:47" ht="13.5">
      <c r="A13" s="4">
        <v>8</v>
      </c>
      <c r="B13" s="14"/>
      <c r="C13" s="10"/>
      <c r="D13" s="10"/>
      <c r="E13" s="11"/>
      <c r="F13" s="11"/>
      <c r="G13" s="11"/>
      <c r="H13" s="12"/>
      <c r="I13" s="85"/>
      <c r="J13" s="11"/>
      <c r="K13" s="90"/>
      <c r="L13" s="11"/>
      <c r="M13" s="11"/>
      <c r="N13" s="11"/>
      <c r="O13" s="87"/>
      <c r="P13" s="11"/>
      <c r="Q13" s="23">
        <f t="shared" si="0"/>
      </c>
      <c r="R13" s="177">
        <f t="shared" si="1"/>
        <v>0</v>
      </c>
      <c r="S13" s="168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83">
        <f t="shared" si="2"/>
      </c>
      <c r="AE13" s="190"/>
      <c r="AF13" s="190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</row>
    <row r="14" spans="1:47" ht="13.5">
      <c r="A14" s="4">
        <v>9</v>
      </c>
      <c r="B14" s="14"/>
      <c r="C14" s="10"/>
      <c r="D14" s="10"/>
      <c r="E14" s="11"/>
      <c r="F14" s="11"/>
      <c r="G14" s="11"/>
      <c r="H14" s="12"/>
      <c r="I14" s="85"/>
      <c r="J14" s="11"/>
      <c r="K14" s="90"/>
      <c r="L14" s="11"/>
      <c r="M14" s="11"/>
      <c r="N14" s="11"/>
      <c r="O14" s="87"/>
      <c r="P14" s="11"/>
      <c r="Q14" s="23">
        <f t="shared" si="0"/>
      </c>
      <c r="R14" s="177">
        <f t="shared" si="1"/>
        <v>0</v>
      </c>
      <c r="S14" s="168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83">
        <f t="shared" si="2"/>
      </c>
      <c r="AE14" s="190"/>
      <c r="AF14" s="190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</row>
    <row r="15" spans="1:47" ht="13.5">
      <c r="A15" s="4">
        <v>10</v>
      </c>
      <c r="B15" s="14"/>
      <c r="C15" s="10"/>
      <c r="D15" s="10"/>
      <c r="E15" s="11"/>
      <c r="F15" s="11"/>
      <c r="G15" s="11"/>
      <c r="H15" s="12"/>
      <c r="I15" s="85"/>
      <c r="J15" s="11"/>
      <c r="K15" s="90"/>
      <c r="L15" s="11"/>
      <c r="M15" s="11"/>
      <c r="N15" s="11"/>
      <c r="O15" s="87"/>
      <c r="P15" s="11"/>
      <c r="Q15" s="23">
        <f t="shared" si="0"/>
      </c>
      <c r="R15" s="177">
        <f t="shared" si="1"/>
        <v>0</v>
      </c>
      <c r="S15" s="168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83">
        <f t="shared" si="2"/>
      </c>
      <c r="AE15" s="190"/>
      <c r="AF15" s="190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</row>
    <row r="16" spans="1:47" ht="13.5">
      <c r="A16" s="4">
        <v>11</v>
      </c>
      <c r="B16" s="14"/>
      <c r="C16" s="10"/>
      <c r="D16" s="10"/>
      <c r="E16" s="11"/>
      <c r="F16" s="11"/>
      <c r="G16" s="11"/>
      <c r="H16" s="12"/>
      <c r="I16" s="85"/>
      <c r="J16" s="11"/>
      <c r="K16" s="90"/>
      <c r="L16" s="11"/>
      <c r="M16" s="11"/>
      <c r="N16" s="11"/>
      <c r="O16" s="87"/>
      <c r="P16" s="11"/>
      <c r="Q16" s="23">
        <f t="shared" si="0"/>
      </c>
      <c r="R16" s="177">
        <f t="shared" si="1"/>
        <v>0</v>
      </c>
      <c r="S16" s="168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83">
        <f t="shared" si="2"/>
      </c>
      <c r="AE16" s="190"/>
      <c r="AF16" s="190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</row>
    <row r="17" spans="1:47" ht="13.5">
      <c r="A17" s="4">
        <v>12</v>
      </c>
      <c r="B17" s="14"/>
      <c r="C17" s="10"/>
      <c r="D17" s="10"/>
      <c r="E17" s="11"/>
      <c r="F17" s="11"/>
      <c r="G17" s="11"/>
      <c r="H17" s="12"/>
      <c r="I17" s="85"/>
      <c r="J17" s="11"/>
      <c r="K17" s="90"/>
      <c r="L17" s="11"/>
      <c r="M17" s="11"/>
      <c r="N17" s="11"/>
      <c r="O17" s="87"/>
      <c r="P17" s="11"/>
      <c r="Q17" s="23">
        <f t="shared" si="0"/>
      </c>
      <c r="R17" s="177">
        <f t="shared" si="1"/>
        <v>0</v>
      </c>
      <c r="S17" s="168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83">
        <f t="shared" si="2"/>
      </c>
      <c r="AE17" s="190"/>
      <c r="AF17" s="190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</row>
    <row r="18" spans="1:47" ht="13.5">
      <c r="A18" s="4">
        <v>13</v>
      </c>
      <c r="B18" s="14"/>
      <c r="C18" s="10"/>
      <c r="D18" s="10"/>
      <c r="E18" s="11"/>
      <c r="F18" s="11"/>
      <c r="G18" s="11"/>
      <c r="H18" s="12"/>
      <c r="I18" s="85"/>
      <c r="J18" s="11"/>
      <c r="K18" s="90"/>
      <c r="L18" s="11"/>
      <c r="M18" s="11"/>
      <c r="N18" s="11"/>
      <c r="O18" s="87"/>
      <c r="P18" s="11"/>
      <c r="Q18" s="23">
        <f t="shared" si="0"/>
      </c>
      <c r="R18" s="177">
        <f t="shared" si="1"/>
        <v>0</v>
      </c>
      <c r="S18" s="16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83">
        <f t="shared" si="2"/>
      </c>
      <c r="AE18" s="190"/>
      <c r="AF18" s="190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</row>
    <row r="19" spans="1:47" ht="13.5">
      <c r="A19" s="4">
        <v>14</v>
      </c>
      <c r="B19" s="14"/>
      <c r="C19" s="10"/>
      <c r="D19" s="10"/>
      <c r="E19" s="11"/>
      <c r="F19" s="11"/>
      <c r="G19" s="11"/>
      <c r="H19" s="12"/>
      <c r="I19" s="85"/>
      <c r="J19" s="11"/>
      <c r="K19" s="90"/>
      <c r="L19" s="11"/>
      <c r="M19" s="11"/>
      <c r="N19" s="11"/>
      <c r="O19" s="87"/>
      <c r="P19" s="11"/>
      <c r="Q19" s="23">
        <f t="shared" si="0"/>
      </c>
      <c r="R19" s="177">
        <f t="shared" si="1"/>
        <v>0</v>
      </c>
      <c r="S19" s="16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83">
        <f t="shared" si="2"/>
      </c>
      <c r="AE19" s="190"/>
      <c r="AF19" s="190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</row>
    <row r="20" spans="1:47" ht="13.5">
      <c r="A20" s="4">
        <v>15</v>
      </c>
      <c r="B20" s="14"/>
      <c r="C20" s="10"/>
      <c r="D20" s="10"/>
      <c r="E20" s="11"/>
      <c r="F20" s="11"/>
      <c r="G20" s="11"/>
      <c r="H20" s="12"/>
      <c r="I20" s="85"/>
      <c r="J20" s="11"/>
      <c r="K20" s="90"/>
      <c r="L20" s="11"/>
      <c r="M20" s="11"/>
      <c r="N20" s="11"/>
      <c r="O20" s="87"/>
      <c r="P20" s="11"/>
      <c r="Q20" s="23">
        <f t="shared" si="0"/>
      </c>
      <c r="R20" s="177">
        <f t="shared" si="1"/>
        <v>0</v>
      </c>
      <c r="S20" s="16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83">
        <f t="shared" si="2"/>
      </c>
      <c r="AE20" s="190"/>
      <c r="AF20" s="190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</row>
    <row r="21" spans="1:47" ht="13.5">
      <c r="A21" s="4">
        <v>16</v>
      </c>
      <c r="B21" s="14"/>
      <c r="C21" s="10"/>
      <c r="D21" s="10"/>
      <c r="E21" s="11"/>
      <c r="F21" s="11"/>
      <c r="G21" s="11"/>
      <c r="H21" s="12"/>
      <c r="I21" s="85"/>
      <c r="J21" s="11"/>
      <c r="K21" s="90"/>
      <c r="L21" s="11"/>
      <c r="M21" s="11"/>
      <c r="N21" s="11"/>
      <c r="O21" s="87"/>
      <c r="P21" s="11"/>
      <c r="Q21" s="23">
        <f t="shared" si="0"/>
      </c>
      <c r="R21" s="177">
        <f t="shared" si="1"/>
        <v>0</v>
      </c>
      <c r="S21" s="168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83">
        <f t="shared" si="2"/>
      </c>
      <c r="AE21" s="190"/>
      <c r="AF21" s="190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</row>
    <row r="22" spans="1:47" ht="13.5">
      <c r="A22" s="4">
        <v>17</v>
      </c>
      <c r="B22" s="14"/>
      <c r="C22" s="10"/>
      <c r="D22" s="10"/>
      <c r="E22" s="11"/>
      <c r="F22" s="11"/>
      <c r="G22" s="11"/>
      <c r="H22" s="12"/>
      <c r="I22" s="85"/>
      <c r="J22" s="11"/>
      <c r="K22" s="90"/>
      <c r="L22" s="11"/>
      <c r="M22" s="11"/>
      <c r="N22" s="11"/>
      <c r="O22" s="87"/>
      <c r="P22" s="11"/>
      <c r="Q22" s="23">
        <f t="shared" si="0"/>
      </c>
      <c r="R22" s="177">
        <f>D22*1000+C22</f>
        <v>0</v>
      </c>
      <c r="S22" s="168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83">
        <f t="shared" si="2"/>
      </c>
      <c r="AE22" s="190"/>
      <c r="AF22" s="190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</row>
    <row r="23" spans="1:47" ht="13.5">
      <c r="A23" s="4">
        <v>18</v>
      </c>
      <c r="B23" s="14"/>
      <c r="C23" s="10"/>
      <c r="D23" s="10"/>
      <c r="E23" s="11"/>
      <c r="F23" s="11"/>
      <c r="G23" s="11"/>
      <c r="H23" s="12"/>
      <c r="I23" s="85"/>
      <c r="J23" s="11"/>
      <c r="K23" s="90"/>
      <c r="L23" s="11"/>
      <c r="M23" s="11"/>
      <c r="N23" s="11"/>
      <c r="O23" s="87"/>
      <c r="P23" s="11"/>
      <c r="Q23" s="23">
        <f t="shared" si="0"/>
      </c>
      <c r="R23" s="177">
        <f t="shared" si="1"/>
        <v>0</v>
      </c>
      <c r="S23" s="16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83">
        <f t="shared" si="2"/>
      </c>
      <c r="AE23" s="190"/>
      <c r="AF23" s="190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</row>
    <row r="24" spans="1:47" ht="13.5">
      <c r="A24" s="4">
        <v>19</v>
      </c>
      <c r="B24" s="14"/>
      <c r="C24" s="10"/>
      <c r="D24" s="10"/>
      <c r="E24" s="11"/>
      <c r="F24" s="11"/>
      <c r="G24" s="11"/>
      <c r="H24" s="12"/>
      <c r="I24" s="85"/>
      <c r="J24" s="11"/>
      <c r="K24" s="90"/>
      <c r="L24" s="11"/>
      <c r="M24" s="11"/>
      <c r="N24" s="11"/>
      <c r="O24" s="87"/>
      <c r="P24" s="11"/>
      <c r="Q24" s="23">
        <f t="shared" si="0"/>
      </c>
      <c r="R24" s="177">
        <f t="shared" si="1"/>
        <v>0</v>
      </c>
      <c r="S24" s="168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83">
        <f t="shared" si="2"/>
      </c>
      <c r="AE24" s="190"/>
      <c r="AF24" s="190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</row>
    <row r="25" spans="1:47" ht="13.5">
      <c r="A25" s="4">
        <v>20</v>
      </c>
      <c r="B25" s="14"/>
      <c r="C25" s="10"/>
      <c r="D25" s="10"/>
      <c r="E25" s="11"/>
      <c r="F25" s="11"/>
      <c r="G25" s="11"/>
      <c r="H25" s="12"/>
      <c r="I25" s="85"/>
      <c r="J25" s="11"/>
      <c r="K25" s="90"/>
      <c r="L25" s="11"/>
      <c r="M25" s="11"/>
      <c r="N25" s="11"/>
      <c r="O25" s="87"/>
      <c r="P25" s="11"/>
      <c r="Q25" s="23">
        <f t="shared" si="0"/>
      </c>
      <c r="R25" s="177">
        <f t="shared" si="1"/>
        <v>0</v>
      </c>
      <c r="S25" s="168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83">
        <f t="shared" si="2"/>
      </c>
      <c r="AE25" s="190"/>
      <c r="AF25" s="190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</row>
    <row r="26" spans="1:47" ht="13.5">
      <c r="A26" s="4">
        <v>21</v>
      </c>
      <c r="B26" s="14"/>
      <c r="C26" s="10"/>
      <c r="D26" s="10"/>
      <c r="E26" s="11"/>
      <c r="F26" s="11"/>
      <c r="G26" s="11"/>
      <c r="H26" s="12"/>
      <c r="I26" s="85"/>
      <c r="J26" s="11"/>
      <c r="K26" s="90"/>
      <c r="L26" s="11"/>
      <c r="M26" s="11"/>
      <c r="N26" s="11"/>
      <c r="O26" s="87"/>
      <c r="P26" s="11"/>
      <c r="Q26" s="23">
        <f t="shared" si="0"/>
      </c>
      <c r="R26" s="177">
        <f t="shared" si="1"/>
        <v>0</v>
      </c>
      <c r="S26" s="16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83">
        <f t="shared" si="2"/>
      </c>
      <c r="AE26" s="190"/>
      <c r="AF26" s="190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</row>
    <row r="27" spans="1:47" ht="13.5">
      <c r="A27" s="14">
        <v>22</v>
      </c>
      <c r="B27" s="14"/>
      <c r="C27" s="15"/>
      <c r="D27" s="10"/>
      <c r="E27" s="13"/>
      <c r="F27" s="13"/>
      <c r="G27" s="11"/>
      <c r="H27" s="16"/>
      <c r="I27" s="86"/>
      <c r="J27" s="13"/>
      <c r="K27" s="91"/>
      <c r="L27" s="13"/>
      <c r="M27" s="13"/>
      <c r="N27" s="13"/>
      <c r="O27" s="87"/>
      <c r="P27" s="11"/>
      <c r="Q27" s="23">
        <f t="shared" si="0"/>
      </c>
      <c r="R27" s="177">
        <f t="shared" si="1"/>
        <v>0</v>
      </c>
      <c r="S27" s="16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83">
        <f t="shared" si="2"/>
      </c>
      <c r="AE27" s="190"/>
      <c r="AF27" s="190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</row>
    <row r="28" spans="1:47" ht="13.5">
      <c r="A28" s="14">
        <v>23</v>
      </c>
      <c r="B28" s="14"/>
      <c r="C28" s="15"/>
      <c r="D28" s="15"/>
      <c r="E28" s="13"/>
      <c r="F28" s="13"/>
      <c r="G28" s="11"/>
      <c r="H28" s="16"/>
      <c r="I28" s="86"/>
      <c r="J28" s="13"/>
      <c r="K28" s="91"/>
      <c r="L28" s="13"/>
      <c r="M28" s="13"/>
      <c r="N28" s="13"/>
      <c r="O28" s="87"/>
      <c r="P28" s="11"/>
      <c r="Q28" s="23">
        <f t="shared" si="0"/>
      </c>
      <c r="R28" s="177">
        <f t="shared" si="1"/>
        <v>0</v>
      </c>
      <c r="S28" s="168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83">
        <f t="shared" si="2"/>
      </c>
      <c r="AE28" s="190"/>
      <c r="AF28" s="190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</row>
    <row r="29" spans="1:47" ht="13.5">
      <c r="A29" s="14">
        <v>24</v>
      </c>
      <c r="B29" s="14"/>
      <c r="C29" s="15"/>
      <c r="D29" s="15"/>
      <c r="E29" s="13"/>
      <c r="F29" s="13"/>
      <c r="G29" s="11"/>
      <c r="H29" s="16"/>
      <c r="I29" s="86"/>
      <c r="J29" s="13"/>
      <c r="K29" s="91"/>
      <c r="L29" s="13"/>
      <c r="M29" s="13"/>
      <c r="N29" s="13"/>
      <c r="O29" s="87"/>
      <c r="P29" s="11"/>
      <c r="Q29" s="23">
        <f t="shared" si="0"/>
      </c>
      <c r="R29" s="177">
        <f t="shared" si="1"/>
        <v>0</v>
      </c>
      <c r="S29" s="168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83">
        <f t="shared" si="2"/>
      </c>
      <c r="AE29" s="190"/>
      <c r="AF29" s="190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</row>
    <row r="30" spans="1:47" ht="13.5">
      <c r="A30" s="14">
        <v>25</v>
      </c>
      <c r="B30" s="14"/>
      <c r="C30" s="15"/>
      <c r="D30" s="15"/>
      <c r="E30" s="13"/>
      <c r="F30" s="13"/>
      <c r="G30" s="11"/>
      <c r="H30" s="16"/>
      <c r="I30" s="86"/>
      <c r="J30" s="13"/>
      <c r="K30" s="91"/>
      <c r="L30" s="13"/>
      <c r="M30" s="13"/>
      <c r="N30" s="13"/>
      <c r="O30" s="87"/>
      <c r="P30" s="11"/>
      <c r="Q30" s="23">
        <f t="shared" si="0"/>
      </c>
      <c r="R30" s="177">
        <f t="shared" si="1"/>
        <v>0</v>
      </c>
      <c r="S30" s="16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83">
        <f t="shared" si="2"/>
      </c>
      <c r="AE30" s="190"/>
      <c r="AF30" s="190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</row>
    <row r="31" spans="1:47" ht="13.5">
      <c r="A31" s="14">
        <v>26</v>
      </c>
      <c r="B31" s="4"/>
      <c r="C31" s="10"/>
      <c r="D31" s="10"/>
      <c r="E31" s="11"/>
      <c r="F31" s="11"/>
      <c r="G31" s="11"/>
      <c r="H31" s="12"/>
      <c r="I31" s="85"/>
      <c r="J31" s="11"/>
      <c r="K31" s="90"/>
      <c r="L31" s="11"/>
      <c r="M31" s="11"/>
      <c r="N31" s="11"/>
      <c r="O31" s="87"/>
      <c r="P31" s="11"/>
      <c r="Q31" s="23">
        <f t="shared" si="0"/>
      </c>
      <c r="R31" s="177">
        <f t="shared" si="1"/>
        <v>0</v>
      </c>
      <c r="S31" s="168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83">
        <f t="shared" si="2"/>
      </c>
      <c r="AE31" s="190"/>
      <c r="AF31" s="190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</row>
    <row r="32" spans="1:47" ht="13.5">
      <c r="A32" s="14">
        <v>27</v>
      </c>
      <c r="B32" s="14"/>
      <c r="C32" s="15"/>
      <c r="D32" s="15"/>
      <c r="E32" s="13"/>
      <c r="F32" s="13"/>
      <c r="G32" s="13"/>
      <c r="H32" s="16"/>
      <c r="I32" s="86"/>
      <c r="J32" s="13"/>
      <c r="K32" s="91"/>
      <c r="L32" s="13"/>
      <c r="M32" s="13"/>
      <c r="N32" s="13"/>
      <c r="O32" s="87"/>
      <c r="P32" s="11"/>
      <c r="Q32" s="23">
        <f t="shared" si="0"/>
      </c>
      <c r="R32" s="177">
        <f t="shared" si="1"/>
        <v>0</v>
      </c>
      <c r="S32" s="168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83">
        <f t="shared" si="2"/>
      </c>
      <c r="AE32" s="190"/>
      <c r="AF32" s="190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</row>
    <row r="33" spans="1:47" ht="13.5">
      <c r="A33" s="14">
        <v>28</v>
      </c>
      <c r="B33" s="14"/>
      <c r="C33" s="15"/>
      <c r="D33" s="15"/>
      <c r="E33" s="13"/>
      <c r="F33" s="13"/>
      <c r="G33" s="13"/>
      <c r="H33" s="16"/>
      <c r="I33" s="86"/>
      <c r="J33" s="13"/>
      <c r="K33" s="91"/>
      <c r="L33" s="13"/>
      <c r="M33" s="13"/>
      <c r="N33" s="13"/>
      <c r="O33" s="87"/>
      <c r="P33" s="11"/>
      <c r="Q33" s="23">
        <f t="shared" si="0"/>
      </c>
      <c r="R33" s="177">
        <f t="shared" si="1"/>
        <v>0</v>
      </c>
      <c r="S33" s="168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83">
        <f t="shared" si="2"/>
      </c>
      <c r="AE33" s="190"/>
      <c r="AF33" s="190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</row>
    <row r="34" spans="1:47" ht="13.5">
      <c r="A34" s="14">
        <v>29</v>
      </c>
      <c r="B34" s="14"/>
      <c r="C34" s="15"/>
      <c r="D34" s="15"/>
      <c r="E34" s="13"/>
      <c r="F34" s="13"/>
      <c r="G34" s="13"/>
      <c r="H34" s="16"/>
      <c r="I34" s="86"/>
      <c r="J34" s="13"/>
      <c r="K34" s="91"/>
      <c r="L34" s="13"/>
      <c r="M34" s="13"/>
      <c r="N34" s="13"/>
      <c r="O34" s="87"/>
      <c r="P34" s="11"/>
      <c r="Q34" s="23">
        <f t="shared" si="0"/>
      </c>
      <c r="R34" s="177">
        <f t="shared" si="1"/>
        <v>0</v>
      </c>
      <c r="S34" s="168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83">
        <f t="shared" si="2"/>
      </c>
      <c r="AE34" s="190"/>
      <c r="AF34" s="190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</row>
    <row r="35" spans="1:47" ht="13.5">
      <c r="A35" s="14">
        <v>30</v>
      </c>
      <c r="B35" s="14"/>
      <c r="C35" s="15"/>
      <c r="D35" s="15"/>
      <c r="E35" s="13"/>
      <c r="F35" s="13"/>
      <c r="G35" s="13"/>
      <c r="H35" s="16"/>
      <c r="I35" s="86"/>
      <c r="J35" s="13"/>
      <c r="K35" s="91"/>
      <c r="L35" s="13"/>
      <c r="M35" s="13"/>
      <c r="N35" s="13"/>
      <c r="O35" s="87"/>
      <c r="P35" s="11"/>
      <c r="Q35" s="23">
        <f t="shared" si="0"/>
      </c>
      <c r="R35" s="177">
        <f t="shared" si="1"/>
        <v>0</v>
      </c>
      <c r="S35" s="168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83">
        <f t="shared" si="2"/>
      </c>
      <c r="AE35" s="190"/>
      <c r="AF35" s="190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</row>
    <row r="36" spans="1:48" ht="13.5">
      <c r="A36" s="17"/>
      <c r="B36" s="17"/>
      <c r="C36" s="17"/>
      <c r="D36" s="17"/>
      <c r="E36" s="17"/>
      <c r="F36" s="18"/>
      <c r="G36" s="18"/>
      <c r="H36" s="18"/>
      <c r="I36" s="18"/>
      <c r="J36" s="18"/>
      <c r="K36" s="19"/>
      <c r="L36" s="18"/>
      <c r="M36" s="19"/>
      <c r="N36" s="19"/>
      <c r="O36" s="19"/>
      <c r="P36" s="19"/>
      <c r="Q36" s="18"/>
      <c r="R36" s="19"/>
      <c r="S36" s="19"/>
      <c r="T36" s="19"/>
      <c r="U36" s="17"/>
      <c r="V36" s="17"/>
      <c r="W36" s="17"/>
      <c r="X36" s="17"/>
      <c r="Y36" s="17"/>
      <c r="Z36" s="17"/>
      <c r="AA36" s="17"/>
      <c r="AB36" s="19"/>
      <c r="AC36" s="19"/>
      <c r="AD36" s="19"/>
      <c r="AE36" s="192"/>
      <c r="AF36" s="192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7"/>
    </row>
    <row r="37" spans="1:48" ht="13.5">
      <c r="A37" s="17"/>
      <c r="B37" s="17"/>
      <c r="C37" s="17"/>
      <c r="D37" s="17"/>
      <c r="E37" s="17"/>
      <c r="G37" s="18"/>
      <c r="H37" s="19"/>
      <c r="I37" s="20"/>
      <c r="J37" s="1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7"/>
      <c r="V37" s="17"/>
      <c r="W37" s="17"/>
      <c r="X37" s="17"/>
      <c r="Y37" s="17"/>
      <c r="Z37" s="17"/>
      <c r="AA37" s="17"/>
      <c r="AB37" s="19"/>
      <c r="AC37" s="19"/>
      <c r="AD37" s="19"/>
      <c r="AE37" s="192"/>
      <c r="AF37" s="192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7"/>
    </row>
    <row r="38" spans="2:10" ht="13.5">
      <c r="B38" s="2" t="s">
        <v>25</v>
      </c>
      <c r="I38" s="5"/>
      <c r="J38" s="21"/>
    </row>
    <row r="39" spans="2:21" ht="13.5">
      <c r="B39" s="62" t="s">
        <v>22</v>
      </c>
      <c r="C39" s="62"/>
      <c r="D39" s="63" t="s">
        <v>26</v>
      </c>
      <c r="E39" s="64" t="s">
        <v>99</v>
      </c>
      <c r="F39" s="63" t="s">
        <v>27</v>
      </c>
      <c r="G39" s="63" t="s">
        <v>17</v>
      </c>
      <c r="H39" s="65" t="s">
        <v>34</v>
      </c>
      <c r="I39" s="5"/>
      <c r="J39" s="21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2:21" ht="13.5">
      <c r="B40" s="62">
        <v>60</v>
      </c>
      <c r="C40" s="62">
        <v>64</v>
      </c>
      <c r="D40" s="62" t="s">
        <v>86</v>
      </c>
      <c r="E40" s="67" t="s">
        <v>113</v>
      </c>
      <c r="F40" s="62" t="s">
        <v>87</v>
      </c>
      <c r="G40" s="62" t="s">
        <v>54</v>
      </c>
      <c r="H40" s="68" t="s">
        <v>94</v>
      </c>
      <c r="I40" s="5"/>
      <c r="J40" s="21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2:21" ht="13.5">
      <c r="B41" s="62">
        <v>65</v>
      </c>
      <c r="C41" s="62">
        <v>69</v>
      </c>
      <c r="D41" s="62" t="s">
        <v>55</v>
      </c>
      <c r="E41" s="62" t="s">
        <v>108</v>
      </c>
      <c r="F41" s="62" t="s">
        <v>56</v>
      </c>
      <c r="G41" s="62" t="s">
        <v>57</v>
      </c>
      <c r="H41" s="68" t="s">
        <v>95</v>
      </c>
      <c r="I41" s="5"/>
      <c r="J41" s="21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2:21" ht="13.5">
      <c r="B42" s="62">
        <v>70</v>
      </c>
      <c r="C42" s="62">
        <v>74</v>
      </c>
      <c r="D42" s="62" t="s">
        <v>58</v>
      </c>
      <c r="E42" s="62" t="s">
        <v>109</v>
      </c>
      <c r="F42" s="62" t="s">
        <v>59</v>
      </c>
      <c r="G42" s="62" t="s">
        <v>60</v>
      </c>
      <c r="H42" s="68" t="s">
        <v>95</v>
      </c>
      <c r="I42" s="5"/>
      <c r="J42" s="21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2:21" ht="13.5">
      <c r="B43" s="62">
        <v>75</v>
      </c>
      <c r="C43" s="62">
        <v>79</v>
      </c>
      <c r="D43" s="62" t="s">
        <v>61</v>
      </c>
      <c r="E43" s="62" t="s">
        <v>110</v>
      </c>
      <c r="F43" s="68" t="s">
        <v>62</v>
      </c>
      <c r="G43" s="62" t="s">
        <v>63</v>
      </c>
      <c r="H43" s="68" t="s">
        <v>96</v>
      </c>
      <c r="I43" s="5"/>
      <c r="J43" s="21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2:21" ht="13.5">
      <c r="B44" s="62">
        <v>80</v>
      </c>
      <c r="C44" s="62">
        <v>84</v>
      </c>
      <c r="D44" s="62" t="s">
        <v>64</v>
      </c>
      <c r="E44" s="62" t="s">
        <v>111</v>
      </c>
      <c r="F44" s="68" t="s">
        <v>65</v>
      </c>
      <c r="G44" s="62" t="s">
        <v>66</v>
      </c>
      <c r="H44" s="68" t="s">
        <v>97</v>
      </c>
      <c r="I44" s="5"/>
      <c r="J44" s="2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2:21" ht="13.5">
      <c r="B45" s="62">
        <v>85</v>
      </c>
      <c r="C45" s="62"/>
      <c r="D45" s="62" t="s">
        <v>67</v>
      </c>
      <c r="E45" s="62" t="s">
        <v>112</v>
      </c>
      <c r="F45" s="68" t="s">
        <v>68</v>
      </c>
      <c r="G45" s="62" t="s">
        <v>69</v>
      </c>
      <c r="H45" s="68" t="s">
        <v>97</v>
      </c>
      <c r="I45" s="5"/>
      <c r="J45" s="21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2:21" ht="13.5">
      <c r="B46" s="66"/>
      <c r="C46" s="66"/>
      <c r="D46" s="69"/>
      <c r="E46" s="69"/>
      <c r="F46" s="69"/>
      <c r="G46" s="69"/>
      <c r="H46" s="70"/>
      <c r="I46" s="5"/>
      <c r="J46" s="21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2:21" ht="13.5">
      <c r="B47" s="62" t="s">
        <v>21</v>
      </c>
      <c r="C47" s="62"/>
      <c r="D47" s="63" t="s">
        <v>26</v>
      </c>
      <c r="E47" s="64" t="s">
        <v>99</v>
      </c>
      <c r="F47" s="63" t="s">
        <v>27</v>
      </c>
      <c r="G47" s="63" t="s">
        <v>17</v>
      </c>
      <c r="H47" s="65" t="s">
        <v>34</v>
      </c>
      <c r="I47" s="5"/>
      <c r="J47" s="21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2:21" ht="13.5">
      <c r="B48" s="62">
        <v>60</v>
      </c>
      <c r="C48" s="62">
        <v>64</v>
      </c>
      <c r="D48" s="62" t="s">
        <v>70</v>
      </c>
      <c r="E48" s="62" t="s">
        <v>118</v>
      </c>
      <c r="F48" s="62" t="s">
        <v>71</v>
      </c>
      <c r="G48" s="62" t="s">
        <v>72</v>
      </c>
      <c r="H48" s="68" t="s">
        <v>93</v>
      </c>
      <c r="I48" s="5"/>
      <c r="J48" s="21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2:21" ht="13.5">
      <c r="B49" s="62">
        <v>65</v>
      </c>
      <c r="C49" s="62">
        <v>69</v>
      </c>
      <c r="D49" s="62" t="s">
        <v>73</v>
      </c>
      <c r="E49" s="62" t="s">
        <v>114</v>
      </c>
      <c r="F49" s="62" t="s">
        <v>74</v>
      </c>
      <c r="G49" s="62" t="s">
        <v>75</v>
      </c>
      <c r="H49" s="68" t="s">
        <v>88</v>
      </c>
      <c r="I49" s="5"/>
      <c r="J49" s="21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2:21" ht="13.5">
      <c r="B50" s="62">
        <v>70</v>
      </c>
      <c r="C50" s="62">
        <v>74</v>
      </c>
      <c r="D50" s="62" t="s">
        <v>76</v>
      </c>
      <c r="E50" s="62" t="s">
        <v>115</v>
      </c>
      <c r="F50" s="68" t="s">
        <v>77</v>
      </c>
      <c r="G50" s="62" t="s">
        <v>78</v>
      </c>
      <c r="H50" s="68" t="s">
        <v>89</v>
      </c>
      <c r="I50" s="5"/>
      <c r="J50" s="21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2:21" ht="13.5">
      <c r="B51" s="62">
        <v>75</v>
      </c>
      <c r="C51" s="62">
        <v>79</v>
      </c>
      <c r="D51" s="62" t="s">
        <v>79</v>
      </c>
      <c r="E51" s="62" t="s">
        <v>115</v>
      </c>
      <c r="F51" s="68" t="s">
        <v>80</v>
      </c>
      <c r="G51" s="62" t="s">
        <v>69</v>
      </c>
      <c r="H51" s="68" t="s">
        <v>90</v>
      </c>
      <c r="I51" s="5"/>
      <c r="J51" s="21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2:21" ht="13.5">
      <c r="B52" s="62">
        <v>80</v>
      </c>
      <c r="C52" s="62">
        <v>84</v>
      </c>
      <c r="D52" s="62" t="s">
        <v>81</v>
      </c>
      <c r="E52" s="62" t="s">
        <v>116</v>
      </c>
      <c r="F52" s="68" t="s">
        <v>68</v>
      </c>
      <c r="G52" s="62" t="s">
        <v>82</v>
      </c>
      <c r="H52" s="68" t="s">
        <v>91</v>
      </c>
      <c r="I52" s="5"/>
      <c r="J52" s="21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2:21" ht="13.5">
      <c r="B53" s="62">
        <v>85</v>
      </c>
      <c r="C53" s="62"/>
      <c r="D53" s="62" t="s">
        <v>83</v>
      </c>
      <c r="E53" s="62" t="s">
        <v>117</v>
      </c>
      <c r="F53" s="68" t="s">
        <v>84</v>
      </c>
      <c r="G53" s="62" t="s">
        <v>85</v>
      </c>
      <c r="H53" s="68" t="s">
        <v>92</v>
      </c>
      <c r="I53" s="5"/>
      <c r="J53" s="21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2:21" ht="13.5">
      <c r="B54" s="66"/>
      <c r="C54" s="66"/>
      <c r="D54" s="66"/>
      <c r="E54" s="66"/>
      <c r="F54" s="66"/>
      <c r="G54" s="66"/>
      <c r="H54" s="71"/>
      <c r="I54" s="5"/>
      <c r="J54" s="21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2:21" ht="13.5">
      <c r="B55" s="72">
        <f>'初回結果票'!G35</f>
        <v>0</v>
      </c>
      <c r="C55" s="72">
        <f>'初回結果票'!E8</f>
        <v>0</v>
      </c>
      <c r="D55" s="73">
        <f>B55*1000+C55</f>
        <v>0</v>
      </c>
      <c r="E55" s="66"/>
      <c r="F55" s="66"/>
      <c r="G55" s="66"/>
      <c r="H55" s="71"/>
      <c r="I55" s="5"/>
      <c r="J55" s="21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2:19" ht="13.5">
      <c r="B56" s="74" t="s">
        <v>2</v>
      </c>
      <c r="C56" s="74" t="s">
        <v>30</v>
      </c>
      <c r="D56" s="74" t="s">
        <v>26</v>
      </c>
      <c r="E56" s="75" t="s">
        <v>99</v>
      </c>
      <c r="F56" s="74" t="s">
        <v>27</v>
      </c>
      <c r="G56" s="74" t="s">
        <v>17</v>
      </c>
      <c r="H56" s="76" t="s">
        <v>34</v>
      </c>
      <c r="I56" s="77" t="s">
        <v>29</v>
      </c>
      <c r="J56" s="21"/>
      <c r="L56" s="66"/>
      <c r="M56" s="75" t="s">
        <v>38</v>
      </c>
      <c r="N56" s="75" t="s">
        <v>39</v>
      </c>
      <c r="O56" s="75" t="s">
        <v>98</v>
      </c>
      <c r="P56" s="75" t="s">
        <v>40</v>
      </c>
      <c r="Q56" s="75" t="s">
        <v>41</v>
      </c>
      <c r="R56" s="75" t="s">
        <v>36</v>
      </c>
      <c r="S56" s="75" t="s">
        <v>37</v>
      </c>
    </row>
    <row r="57" spans="2:19" ht="13.5">
      <c r="B57" s="72">
        <v>1</v>
      </c>
      <c r="C57" s="62">
        <v>60</v>
      </c>
      <c r="D57" s="62" t="s">
        <v>86</v>
      </c>
      <c r="E57" s="67" t="s">
        <v>113</v>
      </c>
      <c r="F57" s="62" t="s">
        <v>87</v>
      </c>
      <c r="G57" s="62" t="s">
        <v>54</v>
      </c>
      <c r="H57" s="68" t="s">
        <v>94</v>
      </c>
      <c r="I57" s="72">
        <f aca="true" t="shared" si="3" ref="I57:I68">B57*1000+C57</f>
        <v>1060</v>
      </c>
      <c r="J57" s="21"/>
      <c r="L57" s="66"/>
      <c r="M57" s="62" t="str">
        <f>IF('初回結果票'!$C22&gt;37,"◎",IF('初回結果票'!$C22&gt;=34.1,"○","△"))</f>
        <v>△</v>
      </c>
      <c r="N57" s="62" t="str">
        <f>IF('初回結果票'!$C23&gt;37,"◎",IF('初回結果票'!$C23&gt;=34.1,"○","△"))</f>
        <v>△</v>
      </c>
      <c r="O57" s="62" t="str">
        <f>IF('初回結果票'!$C24&gt;34,"◎",IF('初回結果票'!$C24&gt;=31,"○","△"))</f>
        <v>△</v>
      </c>
      <c r="P57" s="62" t="str">
        <f>IF('初回結果票'!$C25&gt;110,"◎",IF('初回結果票'!$C25&gt;=28,"○","△"))</f>
        <v>△</v>
      </c>
      <c r="Q57" s="62" t="str">
        <f>IF('初回結果票'!$C26&gt;110,"◎",IF('初回結果票'!$C26&gt;=28,"○","△"))</f>
        <v>△</v>
      </c>
      <c r="R57" s="62" t="str">
        <f>IF('初回結果票'!$C27&lt;=2.5,"◎",IF('初回結果票'!$C27&lt;=3.3,"○","△"))</f>
        <v>◎</v>
      </c>
      <c r="S57" s="62" t="str">
        <f>IF('初回結果票'!$C28&gt;10,"◎",IF('初回結果票'!$C28&gt;=0.1,"○","△"))</f>
        <v>△</v>
      </c>
    </row>
    <row r="58" spans="2:19" ht="13.5">
      <c r="B58" s="72">
        <v>1</v>
      </c>
      <c r="C58" s="62">
        <v>65</v>
      </c>
      <c r="D58" s="62" t="s">
        <v>55</v>
      </c>
      <c r="E58" s="62" t="s">
        <v>108</v>
      </c>
      <c r="F58" s="62" t="s">
        <v>56</v>
      </c>
      <c r="G58" s="62" t="s">
        <v>57</v>
      </c>
      <c r="H58" s="68" t="s">
        <v>95</v>
      </c>
      <c r="I58" s="72">
        <f t="shared" si="3"/>
        <v>1065</v>
      </c>
      <c r="J58" s="21"/>
      <c r="L58" s="66"/>
      <c r="M58" s="62" t="str">
        <f>IF('初回結果票'!$C22&gt;34,"◎",IF('初回結果票'!$C22&gt;=31.1,"○","△"))</f>
        <v>△</v>
      </c>
      <c r="N58" s="62" t="str">
        <f>IF('初回結果票'!$C23&gt;34,"◎",IF('初回結果票'!$C23&gt;=31.1,"○","△"))</f>
        <v>△</v>
      </c>
      <c r="O58" s="62" t="str">
        <f>IF('初回結果票'!$C24&gt;33,"◎",IF('初回結果票'!$C24&gt;=29,"○","△"))</f>
        <v>△</v>
      </c>
      <c r="P58" s="62" t="str">
        <f>IF('初回結果票'!$C25&gt;100,"◎",IF('初回結果票'!$C25&gt;=21,"○","△"))</f>
        <v>△</v>
      </c>
      <c r="Q58" s="62" t="str">
        <f>IF('初回結果票'!$C26&gt;100,"◎",IF('初回結果票'!$C26&gt;=21,"○","△"))</f>
        <v>△</v>
      </c>
      <c r="R58" s="62" t="str">
        <f>IF('初回結果票'!$C27&lt;=2.6,"◎",IF('初回結果票'!$C27&lt;=3.4,"○","△"))</f>
        <v>◎</v>
      </c>
      <c r="S58" s="62" t="str">
        <f>IF('初回結果票'!$C28&gt;6,"◎",IF('初回結果票'!$C28&gt;=-2.9,"○","△"))</f>
        <v>○</v>
      </c>
    </row>
    <row r="59" spans="2:19" ht="13.5">
      <c r="B59" s="72">
        <v>1</v>
      </c>
      <c r="C59" s="62">
        <v>70</v>
      </c>
      <c r="D59" s="62" t="s">
        <v>58</v>
      </c>
      <c r="E59" s="62" t="s">
        <v>109</v>
      </c>
      <c r="F59" s="62" t="s">
        <v>59</v>
      </c>
      <c r="G59" s="62" t="s">
        <v>60</v>
      </c>
      <c r="H59" s="68" t="s">
        <v>95</v>
      </c>
      <c r="I59" s="72">
        <f t="shared" si="3"/>
        <v>1070</v>
      </c>
      <c r="J59" s="21"/>
      <c r="L59" s="66"/>
      <c r="M59" s="62" t="str">
        <f>IF('初回結果票'!$C22&gt;32,"◎",IF('初回結果票'!$C22&gt;=29.1,"○","△"))</f>
        <v>△</v>
      </c>
      <c r="N59" s="62" t="str">
        <f>IF('初回結果票'!$C23&gt;32,"◎",IF('初回結果票'!$C23&gt;=29.1,"○","△"))</f>
        <v>△</v>
      </c>
      <c r="O59" s="62" t="str">
        <f>IF('初回結果票'!$C24&gt;32,"◎",IF('初回結果票'!$C24&gt;=28,"○","△"))</f>
        <v>△</v>
      </c>
      <c r="P59" s="62" t="str">
        <f>IF('初回結果票'!$C25&gt;45,"◎",IF('初回結果票'!$C25&gt;=13,"○","△"))</f>
        <v>△</v>
      </c>
      <c r="Q59" s="62" t="str">
        <f>IF('初回結果票'!$C26&gt;45,"◎",IF('初回結果票'!$C26&gt;=13,"○","△"))</f>
        <v>△</v>
      </c>
      <c r="R59" s="62" t="str">
        <f>IF('初回結果票'!$C27&lt;=2.7,"◎",IF('初回結果票'!$C27&lt;=3.6,"○","△"))</f>
        <v>◎</v>
      </c>
      <c r="S59" s="62" t="str">
        <f>IF('初回結果票'!$C28&gt;6,"◎",IF('初回結果票'!$C28&gt;=-2.9,"○","△"))</f>
        <v>○</v>
      </c>
    </row>
    <row r="60" spans="2:19" ht="13.5">
      <c r="B60" s="72">
        <v>1</v>
      </c>
      <c r="C60" s="62">
        <v>75</v>
      </c>
      <c r="D60" s="62" t="s">
        <v>61</v>
      </c>
      <c r="E60" s="62" t="s">
        <v>110</v>
      </c>
      <c r="F60" s="68" t="s">
        <v>62</v>
      </c>
      <c r="G60" s="62" t="s">
        <v>63</v>
      </c>
      <c r="H60" s="68" t="s">
        <v>96</v>
      </c>
      <c r="I60" s="72">
        <f t="shared" si="3"/>
        <v>1075</v>
      </c>
      <c r="J60" s="21"/>
      <c r="L60" s="66"/>
      <c r="M60" s="62" t="str">
        <f>IF('初回結果票'!$C22&gt;29,"◎",IF('初回結果票'!$C22&gt;=26.1,"○","△"))</f>
        <v>△</v>
      </c>
      <c r="N60" s="62" t="str">
        <f>IF('初回結果票'!$C23&gt;29,"◎",IF('初回結果票'!$C23&gt;=26.1,"○","△"))</f>
        <v>△</v>
      </c>
      <c r="O60" s="62" t="str">
        <f>IF('初回結果票'!$C24&gt;31,"◎",IF('初回結果票'!$C24&gt;=27,"○","△"))</f>
        <v>△</v>
      </c>
      <c r="P60" s="62" t="str">
        <f>IF('初回結果票'!$C25&gt;26,"◎",IF('初回結果票'!$C25&gt;=10,"○","△"))</f>
        <v>△</v>
      </c>
      <c r="Q60" s="62" t="str">
        <f>IF('初回結果票'!$C26&gt;26,"◎",IF('初回結果票'!$C26&gt;=10,"○","△"))</f>
        <v>△</v>
      </c>
      <c r="R60" s="62" t="str">
        <f>IF('初回結果票'!$C27&lt;=3.1,"◎",IF('初回結果票'!$C27&lt;=4.1,"○","△"))</f>
        <v>◎</v>
      </c>
      <c r="S60" s="62" t="str">
        <f>IF('初回結果票'!$C28&gt;4,"◎",IF('初回結果票'!$C28&gt;=-3.4,"○","△"))</f>
        <v>○</v>
      </c>
    </row>
    <row r="61" spans="2:19" ht="13.5">
      <c r="B61" s="72">
        <v>1</v>
      </c>
      <c r="C61" s="62">
        <v>80</v>
      </c>
      <c r="D61" s="62" t="s">
        <v>64</v>
      </c>
      <c r="E61" s="62" t="s">
        <v>111</v>
      </c>
      <c r="F61" s="68" t="s">
        <v>65</v>
      </c>
      <c r="G61" s="62" t="s">
        <v>66</v>
      </c>
      <c r="H61" s="68" t="s">
        <v>97</v>
      </c>
      <c r="I61" s="72">
        <f t="shared" si="3"/>
        <v>1080</v>
      </c>
      <c r="J61" s="21"/>
      <c r="L61" s="66"/>
      <c r="M61" s="62" t="str">
        <f>IF('初回結果票'!$C22&gt;27,"◎",IF('初回結果票'!$C22&gt;=23.1,"○","△"))</f>
        <v>△</v>
      </c>
      <c r="N61" s="62" t="str">
        <f>IF('初回結果票'!$C23&gt;27,"◎",IF('初回結果票'!$C23&gt;=23.1,"○","△"))</f>
        <v>△</v>
      </c>
      <c r="O61" s="62" t="str">
        <f>IF('初回結果票'!$C24&gt;30,"◎",IF('初回結果票'!$C24&gt;=25,"○","△"))</f>
        <v>△</v>
      </c>
      <c r="P61" s="62" t="str">
        <f>IF('初回結果票'!$C25&gt;18,"◎",IF('初回結果票'!$C25&gt;=6,"○","△"))</f>
        <v>△</v>
      </c>
      <c r="Q61" s="62" t="str">
        <f>IF('初回結果票'!$C26&gt;18,"◎",IF('初回結果票'!$C26&gt;=6,"○","△"))</f>
        <v>△</v>
      </c>
      <c r="R61" s="62" t="str">
        <f>IF('初回結果票'!$C27&lt;=3.5,"◎",IF('初回結果票'!$C27&lt;=4.6,"○","△"))</f>
        <v>◎</v>
      </c>
      <c r="S61" s="62" t="str">
        <f>IF('初回結果票'!$C28&gt;4,"◎",IF('初回結果票'!$C28&gt;=-4.4,"○","△"))</f>
        <v>○</v>
      </c>
    </row>
    <row r="62" spans="2:19" ht="13.5">
      <c r="B62" s="72">
        <v>1</v>
      </c>
      <c r="C62" s="62">
        <v>85</v>
      </c>
      <c r="D62" s="62" t="s">
        <v>67</v>
      </c>
      <c r="E62" s="62" t="s">
        <v>112</v>
      </c>
      <c r="F62" s="68" t="s">
        <v>68</v>
      </c>
      <c r="G62" s="62" t="s">
        <v>69</v>
      </c>
      <c r="H62" s="68" t="s">
        <v>97</v>
      </c>
      <c r="I62" s="72">
        <f t="shared" si="3"/>
        <v>1085</v>
      </c>
      <c r="J62" s="21"/>
      <c r="L62" s="66"/>
      <c r="M62" s="62" t="str">
        <f>IF('初回結果票'!$C22&gt;25,"◎",IF('初回結果票'!$C22&gt;=23.1,"○","△"))</f>
        <v>△</v>
      </c>
      <c r="N62" s="62" t="str">
        <f>IF('初回結果票'!$C23&gt;25,"◎",IF('初回結果票'!$C23&gt;=23.1,"○","△"))</f>
        <v>△</v>
      </c>
      <c r="O62" s="62" t="str">
        <f>IF('初回結果票'!$C24&gt;29,"◎",IF('初回結果票'!$C24&gt;=24,"○","△"))</f>
        <v>△</v>
      </c>
      <c r="P62" s="62" t="str">
        <f>IF('初回結果票'!$C25&gt;13,"◎",IF('初回結果票'!$C25&gt;=4,"○","△"))</f>
        <v>△</v>
      </c>
      <c r="Q62" s="62" t="str">
        <f>IF('初回結果票'!$C26&gt;13,"◎",IF('初回結果票'!$C26&gt;=4,"○","△"))</f>
        <v>△</v>
      </c>
      <c r="R62" s="62" t="str">
        <f>IF('初回結果票'!$C27&lt;=3.9,"◎",IF('初回結果票'!$C27&lt;=5.1,"○","△"))</f>
        <v>◎</v>
      </c>
      <c r="S62" s="62" t="str">
        <f>IF('初回結果票'!$C28&gt;4,"◎",IF('初回結果票'!$C28&gt;=-4.4,"○","△"))</f>
        <v>○</v>
      </c>
    </row>
    <row r="63" spans="2:19" ht="13.5">
      <c r="B63" s="72">
        <v>2</v>
      </c>
      <c r="C63" s="62">
        <v>60</v>
      </c>
      <c r="D63" s="62" t="s">
        <v>70</v>
      </c>
      <c r="E63" s="62" t="s">
        <v>118</v>
      </c>
      <c r="F63" s="62" t="s">
        <v>71</v>
      </c>
      <c r="G63" s="62" t="s">
        <v>72</v>
      </c>
      <c r="H63" s="68" t="s">
        <v>93</v>
      </c>
      <c r="I63" s="72">
        <f t="shared" si="3"/>
        <v>2060</v>
      </c>
      <c r="J63" s="21"/>
      <c r="L63" s="66"/>
      <c r="M63" s="62" t="str">
        <f>IF('初回結果票'!$C22&gt;23,"◎",IF('初回結果票'!$C22&gt;=21.1,"○","△"))</f>
        <v>△</v>
      </c>
      <c r="N63" s="62" t="str">
        <f>IF('初回結果票'!$C23&gt;23,"◎",IF('初回結果票'!$C23&gt;=21.1,"○","△"))</f>
        <v>△</v>
      </c>
      <c r="O63" s="62" t="str">
        <f>IF('初回結果票'!$C24&gt;33,"◎",IF('初回結果票'!$C24&gt;=30,"○","△"))</f>
        <v>△</v>
      </c>
      <c r="P63" s="62" t="str">
        <f>IF('初回結果票'!$C25&gt;84,"◎",IF('初回結果票'!$C25&gt;=29,"○","△"))</f>
        <v>△</v>
      </c>
      <c r="Q63" s="62" t="str">
        <f>IF('初回結果票'!$C26&gt;84,"◎",IF('初回結果票'!$C26&gt;=29,"○","△"))</f>
        <v>△</v>
      </c>
      <c r="R63" s="62" t="str">
        <f>IF('初回結果票'!$C27&lt;=2.8,"◎",IF('初回結果票'!$C27&lt;=3.8,"○","△"))</f>
        <v>◎</v>
      </c>
      <c r="S63" s="62" t="str">
        <f>IF('初回結果票'!$C28&gt;14.5,"◎",IF('初回結果票'!$C28&gt;=7.1,"○","△"))</f>
        <v>△</v>
      </c>
    </row>
    <row r="64" spans="2:19" ht="13.5">
      <c r="B64" s="72">
        <v>2</v>
      </c>
      <c r="C64" s="62">
        <v>65</v>
      </c>
      <c r="D64" s="62" t="s">
        <v>73</v>
      </c>
      <c r="E64" s="62" t="s">
        <v>114</v>
      </c>
      <c r="F64" s="62" t="s">
        <v>74</v>
      </c>
      <c r="G64" s="62" t="s">
        <v>75</v>
      </c>
      <c r="H64" s="68" t="s">
        <v>88</v>
      </c>
      <c r="I64" s="72">
        <f t="shared" si="3"/>
        <v>2065</v>
      </c>
      <c r="J64" s="21"/>
      <c r="L64" s="66"/>
      <c r="M64" s="62" t="str">
        <f>IF('初回結果票'!$C22&gt;21,"◎",IF('初回結果票'!$C22&gt;=19.1,"○","△"))</f>
        <v>△</v>
      </c>
      <c r="N64" s="62" t="str">
        <f>IF('初回結果票'!$C23&gt;21,"◎",IF('初回結果票'!$C23&gt;=19.1,"○","△"))</f>
        <v>△</v>
      </c>
      <c r="O64" s="62" t="str">
        <f>IF('初回結果票'!$C24&gt;32,"◎",IF('初回結果票'!$C24&gt;=29,"○","△"))</f>
        <v>△</v>
      </c>
      <c r="P64" s="62" t="str">
        <f>IF('初回結果票'!$C25&gt;58,"◎",IF('初回結果票'!$C25&gt;=18,"○","△"))</f>
        <v>△</v>
      </c>
      <c r="Q64" s="62" t="str">
        <f>IF('初回結果票'!$C26&gt;58,"◎",IF('初回結果票'!$C26&gt;=18,"○","△"))</f>
        <v>△</v>
      </c>
      <c r="R64" s="62" t="str">
        <f>IF('初回結果票'!$C27&lt;=3,"◎",IF('初回結果票'!$C27&lt;=4,"○","△"))</f>
        <v>◎</v>
      </c>
      <c r="S64" s="62" t="str">
        <f>IF('初回結果票'!$C28&gt;13,"◎",IF('初回結果票'!$C28&gt;=6.1,"○","△"))</f>
        <v>△</v>
      </c>
    </row>
    <row r="65" spans="2:19" ht="13.5">
      <c r="B65" s="72">
        <v>2</v>
      </c>
      <c r="C65" s="62">
        <v>70</v>
      </c>
      <c r="D65" s="62" t="s">
        <v>76</v>
      </c>
      <c r="E65" s="62" t="s">
        <v>115</v>
      </c>
      <c r="F65" s="68" t="s">
        <v>77</v>
      </c>
      <c r="G65" s="62" t="s">
        <v>78</v>
      </c>
      <c r="H65" s="68" t="s">
        <v>89</v>
      </c>
      <c r="I65" s="72">
        <f t="shared" si="3"/>
        <v>2070</v>
      </c>
      <c r="J65" s="21"/>
      <c r="L65" s="66"/>
      <c r="M65" s="62" t="str">
        <f>IF('初回結果票'!$C22&gt;20,"◎",IF('初回結果票'!$C22&gt;=18.1,"○","△"))</f>
        <v>△</v>
      </c>
      <c r="N65" s="62" t="str">
        <f>IF('初回結果票'!$C23&gt;20,"◎",IF('初回結果票'!$C23&gt;=18.1,"○","△"))</f>
        <v>△</v>
      </c>
      <c r="O65" s="62" t="str">
        <f>IF('初回結果票'!$C24&gt;31,"◎",IF('初回結果票'!$C24&gt;=28,"○","△"))</f>
        <v>△</v>
      </c>
      <c r="P65" s="62" t="str">
        <f>IF('初回結果票'!$C25&gt;29,"◎",IF('初回結果票'!$C25&gt;=11,"○","△"))</f>
        <v>△</v>
      </c>
      <c r="Q65" s="62" t="str">
        <f>IF('初回結果票'!$C26&gt;29,"◎",IF('初回結果票'!$C26&gt;=11,"○","△"))</f>
        <v>△</v>
      </c>
      <c r="R65" s="62" t="str">
        <f>IF('初回結果票'!$C27&lt;=3.3,"◎",IF('初回結果票'!$C27&lt;=4.4,"○","△"))</f>
        <v>◎</v>
      </c>
      <c r="S65" s="62" t="str">
        <f>IF('初回結果票'!$C28&gt;11.5,"◎",IF('初回結果票'!$C28&gt;=4.1,"○","△"))</f>
        <v>△</v>
      </c>
    </row>
    <row r="66" spans="2:19" ht="13.5">
      <c r="B66" s="72">
        <v>2</v>
      </c>
      <c r="C66" s="62">
        <v>75</v>
      </c>
      <c r="D66" s="62" t="s">
        <v>79</v>
      </c>
      <c r="E66" s="62" t="s">
        <v>115</v>
      </c>
      <c r="F66" s="68" t="s">
        <v>80</v>
      </c>
      <c r="G66" s="62" t="s">
        <v>69</v>
      </c>
      <c r="H66" s="68" t="s">
        <v>90</v>
      </c>
      <c r="I66" s="72">
        <f t="shared" si="3"/>
        <v>2075</v>
      </c>
      <c r="J66" s="21"/>
      <c r="L66" s="66"/>
      <c r="M66" s="62" t="str">
        <f>IF('初回結果票'!$C22&gt;18,"◎",IF('初回結果票'!$C22&gt;=16.1,"○","△"))</f>
        <v>△</v>
      </c>
      <c r="N66" s="62" t="str">
        <f>IF('初回結果票'!$C23&gt;18,"◎",IF('初回結果票'!$C23&gt;=16.1,"○","△"))</f>
        <v>△</v>
      </c>
      <c r="O66" s="62" t="str">
        <f>IF('初回結果票'!$C24&gt;31,"◎",IF('初回結果票'!$C24&gt;=28,"○","△"))</f>
        <v>△</v>
      </c>
      <c r="P66" s="62" t="str">
        <f>IF('初回結果票'!$C25&gt;15,"◎",IF('初回結果票'!$C25&gt;=5,"○","△"))</f>
        <v>△</v>
      </c>
      <c r="Q66" s="62" t="str">
        <f>IF('初回結果票'!$C26&gt;15,"◎",IF('初回結果票'!$C26&gt;=5,"○","△"))</f>
        <v>△</v>
      </c>
      <c r="R66" s="62" t="str">
        <f>IF('初回結果票'!$C27&lt;=3.9,"◎",IF('初回結果票'!$C27&lt;=5.1,"○","△"))</f>
        <v>◎</v>
      </c>
      <c r="S66" s="62" t="str">
        <f>IF('初回結果票'!$C28&gt;11.5,"◎",IF('初回結果票'!$C28&gt;=3.6,"○","△"))</f>
        <v>△</v>
      </c>
    </row>
    <row r="67" spans="2:19" ht="13.5">
      <c r="B67" s="72">
        <v>2</v>
      </c>
      <c r="C67" s="62">
        <v>80</v>
      </c>
      <c r="D67" s="62" t="s">
        <v>81</v>
      </c>
      <c r="E67" s="62" t="s">
        <v>116</v>
      </c>
      <c r="F67" s="68" t="s">
        <v>68</v>
      </c>
      <c r="G67" s="62" t="s">
        <v>82</v>
      </c>
      <c r="H67" s="68" t="s">
        <v>91</v>
      </c>
      <c r="I67" s="72">
        <f t="shared" si="3"/>
        <v>2080</v>
      </c>
      <c r="J67" s="21"/>
      <c r="L67" s="66"/>
      <c r="M67" s="62" t="str">
        <f>IF('初回結果票'!$C22&gt;17,"◎",IF('初回結果票'!$C22&gt;=16.1,"○","△"))</f>
        <v>△</v>
      </c>
      <c r="N67" s="62" t="str">
        <f>IF('初回結果票'!$C23&gt;17,"◎",IF('初回結果票'!$C23&gt;=16.1,"○","△"))</f>
        <v>△</v>
      </c>
      <c r="O67" s="62" t="str">
        <f>IF('初回結果票'!$C24&gt;30,"◎",IF('初回結果票'!$C24&gt;=27,"○","△"))</f>
        <v>△</v>
      </c>
      <c r="P67" s="62" t="str">
        <f>IF('初回結果票'!$C25&gt;13,"◎",IF('初回結果票'!$C25&gt;=4,"○","△"))</f>
        <v>△</v>
      </c>
      <c r="Q67" s="62" t="str">
        <f>IF('初回結果票'!$C26&gt;13,"◎",IF('初回結果票'!$C26&gt;=4,"○","△"))</f>
        <v>△</v>
      </c>
      <c r="R67" s="62" t="str">
        <f>IF('初回結果票'!$C27&lt;=4.4,"◎",IF('初回結果票'!$C27&lt;=5.8,"○","△"))</f>
        <v>◎</v>
      </c>
      <c r="S67" s="62" t="str">
        <f>IF('初回結果票'!$C28&gt;11,"◎",IF('初回結果票'!$C28&gt;=3.6,"○","△"))</f>
        <v>△</v>
      </c>
    </row>
    <row r="68" spans="2:19" ht="13.5">
      <c r="B68" s="72">
        <v>2</v>
      </c>
      <c r="C68" s="62">
        <v>85</v>
      </c>
      <c r="D68" s="62" t="s">
        <v>83</v>
      </c>
      <c r="E68" s="62" t="s">
        <v>117</v>
      </c>
      <c r="F68" s="68" t="s">
        <v>84</v>
      </c>
      <c r="G68" s="62" t="s">
        <v>85</v>
      </c>
      <c r="H68" s="68" t="s">
        <v>92</v>
      </c>
      <c r="I68" s="72">
        <f t="shared" si="3"/>
        <v>2085</v>
      </c>
      <c r="J68" s="21"/>
      <c r="L68" s="66"/>
      <c r="M68" s="62" t="str">
        <f>IF('初回結果票'!$C22&gt;16,"◎",IF('初回結果票'!$C22&gt;=13.1,"○","△"))</f>
        <v>△</v>
      </c>
      <c r="N68" s="62" t="str">
        <f>IF('初回結果票'!$C23&gt;16,"◎",IF('初回結果票'!$C23&gt;=13.1,"○","△"))</f>
        <v>△</v>
      </c>
      <c r="O68" s="62" t="str">
        <f>IF('初回結果票'!$C24&gt;29,"◎",IF('初回結果票'!$C24&gt;=26,"○","△"))</f>
        <v>△</v>
      </c>
      <c r="P68" s="62" t="str">
        <f>IF('初回結果票'!$C25&gt;11,"◎",IF('初回結果票'!$C25&gt;=3,"○","△"))</f>
        <v>△</v>
      </c>
      <c r="Q68" s="62" t="str">
        <f>IF('初回結果票'!$C26&gt;11,"◎",IF('初回結果票'!$C26&gt;=3,"○","△"))</f>
        <v>△</v>
      </c>
      <c r="R68" s="62" t="str">
        <f>IF('初回結果票'!$C27&lt;=5,"◎",IF('初回結果票'!$C27&lt;=6.5,"○","△"))</f>
        <v>◎</v>
      </c>
      <c r="S68" s="62" t="str">
        <f>IF('初回結果票'!$C28&gt;10.5,"◎",IF('初回結果票'!$C28&gt;=1.6,"○","△"))</f>
        <v>△</v>
      </c>
    </row>
    <row r="69" spans="2:19" ht="13.5">
      <c r="B69" s="66"/>
      <c r="C69" s="66"/>
      <c r="D69" s="66"/>
      <c r="E69" s="66"/>
      <c r="F69" s="66"/>
      <c r="G69" s="66"/>
      <c r="H69" s="71"/>
      <c r="I69" s="5"/>
      <c r="J69" s="21"/>
      <c r="K69" s="66"/>
      <c r="L69" s="66"/>
      <c r="M69" s="69"/>
      <c r="N69" s="69"/>
      <c r="O69" s="69"/>
      <c r="P69" s="69"/>
      <c r="Q69" s="69"/>
      <c r="R69" s="69"/>
      <c r="S69" s="69"/>
    </row>
    <row r="70" spans="2:19" ht="13.5">
      <c r="B70" s="66"/>
      <c r="C70" s="66"/>
      <c r="D70" s="74" t="s">
        <v>26</v>
      </c>
      <c r="E70" s="75" t="s">
        <v>99</v>
      </c>
      <c r="F70" s="74" t="s">
        <v>27</v>
      </c>
      <c r="G70" s="74" t="s">
        <v>17</v>
      </c>
      <c r="H70" s="76" t="s">
        <v>34</v>
      </c>
      <c r="I70" s="5"/>
      <c r="J70" s="21"/>
      <c r="K70" s="66"/>
      <c r="L70" s="66"/>
      <c r="M70" s="75" t="s">
        <v>38</v>
      </c>
      <c r="N70" s="75" t="s">
        <v>39</v>
      </c>
      <c r="O70" s="75" t="s">
        <v>98</v>
      </c>
      <c r="P70" s="75" t="s">
        <v>40</v>
      </c>
      <c r="Q70" s="75" t="s">
        <v>41</v>
      </c>
      <c r="R70" s="75" t="s">
        <v>36</v>
      </c>
      <c r="S70" s="75" t="s">
        <v>37</v>
      </c>
    </row>
    <row r="71" spans="2:19" ht="13.5">
      <c r="B71" s="66"/>
      <c r="C71" s="66"/>
      <c r="D71" s="62" t="e">
        <f>LOOKUP($D$55,$I$57:$I$68,$D$57:$D$68)</f>
        <v>#N/A</v>
      </c>
      <c r="E71" s="62" t="e">
        <f>LOOKUP($D$55,$I$57:$I$68,$E$57:$E$68)</f>
        <v>#N/A</v>
      </c>
      <c r="F71" s="62" t="e">
        <f>LOOKUP($D$55,$I$57:$I$68,$F$57:$F$68)</f>
        <v>#N/A</v>
      </c>
      <c r="G71" s="62" t="e">
        <f>LOOKUP($D$55,$I$57:$I$68,$G$57:$G$68)</f>
        <v>#N/A</v>
      </c>
      <c r="H71" s="78" t="e">
        <f>LOOKUP($D$55,$I$57:$I$68,$H$57:$H$68)</f>
        <v>#N/A</v>
      </c>
      <c r="I71" s="5"/>
      <c r="J71" s="21"/>
      <c r="K71" s="66"/>
      <c r="L71" s="66"/>
      <c r="M71" s="62" t="e">
        <f aca="true" t="shared" si="4" ref="M71:S71">LOOKUP($D$55,$I$57:$I$68,M57:M68)</f>
        <v>#N/A</v>
      </c>
      <c r="N71" s="62" t="e">
        <f t="shared" si="4"/>
        <v>#N/A</v>
      </c>
      <c r="O71" s="62" t="e">
        <f t="shared" si="4"/>
        <v>#N/A</v>
      </c>
      <c r="P71" s="62" t="e">
        <f t="shared" si="4"/>
        <v>#N/A</v>
      </c>
      <c r="Q71" s="62" t="e">
        <f t="shared" si="4"/>
        <v>#N/A</v>
      </c>
      <c r="R71" s="62" t="e">
        <f t="shared" si="4"/>
        <v>#N/A</v>
      </c>
      <c r="S71" s="62" t="e">
        <f t="shared" si="4"/>
        <v>#N/A</v>
      </c>
    </row>
    <row r="72" spans="9:10" ht="13.5">
      <c r="I72" s="5"/>
      <c r="J72" s="21"/>
    </row>
    <row r="73" spans="9:10" ht="13.5">
      <c r="I73" s="5"/>
      <c r="J73" s="21"/>
    </row>
    <row r="74" spans="9:10" ht="13.5">
      <c r="I74" s="5"/>
      <c r="J74" s="21"/>
    </row>
    <row r="75" spans="9:10" ht="13.5">
      <c r="I75" s="5"/>
      <c r="J75" s="21"/>
    </row>
    <row r="76" spans="9:10" ht="13.5">
      <c r="I76" s="5"/>
      <c r="J76" s="21"/>
    </row>
    <row r="77" spans="9:10" ht="13.5">
      <c r="I77" s="5"/>
      <c r="J77" s="21"/>
    </row>
    <row r="78" spans="9:10" ht="13.5">
      <c r="I78" s="5"/>
      <c r="J78" s="21"/>
    </row>
    <row r="79" spans="9:10" ht="13.5">
      <c r="I79" s="5"/>
      <c r="J79" s="21"/>
    </row>
    <row r="80" spans="9:10" ht="13.5">
      <c r="I80" s="5"/>
      <c r="J80" s="21"/>
    </row>
    <row r="81" spans="9:10" ht="13.5">
      <c r="I81" s="5"/>
      <c r="J81" s="21"/>
    </row>
    <row r="82" spans="9:10" ht="13.5">
      <c r="I82" s="5"/>
      <c r="J82" s="21"/>
    </row>
  </sheetData>
  <sheetProtection/>
  <mergeCells count="4">
    <mergeCell ref="B4:D4"/>
    <mergeCell ref="E4:Q4"/>
    <mergeCell ref="S4:AD4"/>
    <mergeCell ref="AE4:AF4"/>
  </mergeCells>
  <dataValidations count="2">
    <dataValidation allowBlank="1" showInputMessage="1" showErrorMessage="1" imeMode="off" sqref="C6:E23 D24:D27 C31:E31"/>
    <dataValidation allowBlank="1" showInputMessage="1" showErrorMessage="1" imeMode="on" sqref="B6:B23 B31"/>
  </dataValidations>
  <printOptions/>
  <pageMargins left="0.787" right="0.787" top="0.984" bottom="0.984" header="0.512" footer="0.512"/>
  <pageSetup horizontalDpi="600" verticalDpi="600" orientation="portrait" paperSize="9" r:id="rId2"/>
  <ignoredErrors>
    <ignoredError sqref="R7:R10 S2 R12:R21 R23:R35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4:J36"/>
  <sheetViews>
    <sheetView zoomScalePageLayoutView="0" workbookViewId="0" topLeftCell="A25">
      <selection activeCell="G7" sqref="G7"/>
    </sheetView>
  </sheetViews>
  <sheetFormatPr defaultColWidth="9.00390625" defaultRowHeight="19.5" customHeight="1"/>
  <cols>
    <col min="1" max="1" width="10.00390625" style="26" bestFit="1" customWidth="1"/>
    <col min="2" max="2" width="20.75390625" style="24" bestFit="1" customWidth="1"/>
    <col min="3" max="3" width="20.875" style="25" bestFit="1" customWidth="1"/>
    <col min="4" max="4" width="11.125" style="24" bestFit="1" customWidth="1"/>
    <col min="5" max="5" width="12.875" style="24" customWidth="1"/>
    <col min="6" max="6" width="6.50390625" style="24" bestFit="1" customWidth="1"/>
    <col min="7" max="7" width="9.375" style="24" customWidth="1"/>
    <col min="8" max="9" width="11.00390625" style="24" customWidth="1"/>
    <col min="10" max="10" width="10.75390625" style="24" customWidth="1"/>
    <col min="11" max="16384" width="9.00390625" style="26" customWidth="1"/>
  </cols>
  <sheetData>
    <row r="1" ht="21.75" customHeight="1"/>
    <row r="2" ht="21.75" customHeight="1"/>
    <row r="3" ht="21.75" customHeight="1"/>
    <row r="4" spans="2:3" ht="21.75" customHeight="1">
      <c r="B4" s="24">
        <v>2</v>
      </c>
      <c r="C4" s="25">
        <v>2</v>
      </c>
    </row>
    <row r="5" ht="21.75" customHeight="1">
      <c r="B5" s="24">
        <v>7</v>
      </c>
    </row>
    <row r="6" ht="21.75" customHeight="1">
      <c r="G6" s="24" t="s">
        <v>105</v>
      </c>
    </row>
    <row r="7" ht="21.75" customHeight="1">
      <c r="G7" s="1">
        <v>1</v>
      </c>
    </row>
    <row r="8" spans="2:9" ht="21.75" customHeight="1">
      <c r="B8" s="27" t="s">
        <v>0</v>
      </c>
      <c r="C8" s="197">
        <f>VLOOKUP($G$7,データ!$A$6:$AF$35,2,0)</f>
        <v>0</v>
      </c>
      <c r="D8" s="27" t="s">
        <v>1</v>
      </c>
      <c r="E8" s="29">
        <f>VLOOKUP($G$7,データ!$A$6:$AF$35,3,0)</f>
        <v>0</v>
      </c>
      <c r="F8" s="201" t="s">
        <v>2</v>
      </c>
      <c r="G8" s="28">
        <f>IF(G35&gt;0,IF(G35=1,"男","女"),"")</f>
      </c>
      <c r="I8" s="30"/>
    </row>
    <row r="9" spans="2:10" ht="21.75" customHeight="1">
      <c r="B9" s="27"/>
      <c r="C9" s="31"/>
      <c r="D9" s="27"/>
      <c r="E9" s="32"/>
      <c r="F9" s="30"/>
      <c r="G9" s="30"/>
      <c r="I9" s="30"/>
      <c r="J9" s="30"/>
    </row>
    <row r="10" ht="21.75" customHeight="1">
      <c r="B10" s="27" t="s">
        <v>3</v>
      </c>
    </row>
    <row r="11" spans="2:5" ht="21.75" customHeight="1">
      <c r="B11" s="33"/>
      <c r="C11" s="34" t="s">
        <v>42</v>
      </c>
      <c r="D11" s="35" t="s">
        <v>10</v>
      </c>
      <c r="E11" s="36"/>
    </row>
    <row r="12" spans="2:5" ht="21.75" customHeight="1">
      <c r="B12" s="37" t="s">
        <v>23</v>
      </c>
      <c r="C12" s="194">
        <f>VLOOKUP($G$7,データ!$A$6:$AF$35,31,0)</f>
        <v>0</v>
      </c>
      <c r="D12" s="213"/>
      <c r="E12" s="36"/>
    </row>
    <row r="13" spans="2:5" ht="21.75" customHeight="1">
      <c r="B13" s="37" t="s">
        <v>11</v>
      </c>
      <c r="C13" s="38">
        <f>VLOOKUP($G$7,データ!$A$6:$AF$35,5,0)</f>
        <v>0</v>
      </c>
      <c r="D13" s="214"/>
      <c r="E13" s="36"/>
    </row>
    <row r="14" spans="2:5" ht="21.75" customHeight="1">
      <c r="B14" s="37" t="s">
        <v>12</v>
      </c>
      <c r="C14" s="39">
        <f>VLOOKUP($G$7,データ!$A$6:$AF$35,6,0)</f>
        <v>0</v>
      </c>
      <c r="D14" s="215"/>
      <c r="E14" s="40"/>
    </row>
    <row r="15" spans="2:5" ht="21.75" customHeight="1">
      <c r="B15" s="37" t="s">
        <v>9</v>
      </c>
      <c r="C15" s="41">
        <f>VLOOKUP($G$7,データ!$A$6:$AF$35,17,0)</f>
      </c>
      <c r="D15" s="42">
        <f>IF(C15="","",IF(AND(C15&gt;=18.5,C15&lt;25),"普通",IF(C15&lt;18.5,"やせぎみ",IF(C15&gt;=25,"肥満",""))))</f>
      </c>
      <c r="E15" s="36"/>
    </row>
    <row r="16" spans="2:5" ht="21.75" customHeight="1">
      <c r="B16" s="43" t="s">
        <v>6</v>
      </c>
      <c r="C16" s="44">
        <f>VLOOKUP($G$7,データ!$A$6:$AF$35,7,0)</f>
        <v>0</v>
      </c>
      <c r="D16" s="45"/>
      <c r="E16" s="36"/>
    </row>
    <row r="17" spans="2:5" ht="21.75" customHeight="1">
      <c r="B17" s="37" t="s">
        <v>7</v>
      </c>
      <c r="C17" s="34">
        <f>VLOOKUP($G$7,データ!$A$6:$AF$35,8,0)</f>
        <v>0</v>
      </c>
      <c r="D17" s="46" t="str">
        <f>IF(AND(C18="",C17=""),"",IF(C17&lt;90,"低血圧",IF(OR(C17&gt;140,C18&gt;90),"高血圧",IF(AND(C17&lt;=140,C18&lt;=90),"正常",""))))</f>
        <v>低血圧</v>
      </c>
      <c r="E17" s="36"/>
    </row>
    <row r="18" spans="2:5" ht="21.75" customHeight="1">
      <c r="B18" s="37" t="s">
        <v>8</v>
      </c>
      <c r="C18" s="34">
        <f>VLOOKUP($G$7,データ!$A$6:$AF$35,9,0)</f>
        <v>0</v>
      </c>
      <c r="D18" s="47"/>
      <c r="E18" s="36"/>
    </row>
    <row r="19" ht="21.75" customHeight="1"/>
    <row r="20" ht="24.75" customHeight="1">
      <c r="B20" s="27" t="s">
        <v>18</v>
      </c>
    </row>
    <row r="21" spans="1:6" ht="24.75" customHeight="1">
      <c r="A21" s="48" t="s">
        <v>53</v>
      </c>
      <c r="B21" s="37" t="s">
        <v>52</v>
      </c>
      <c r="C21" s="34" t="s">
        <v>42</v>
      </c>
      <c r="D21" s="49" t="s">
        <v>10</v>
      </c>
      <c r="E21" s="216" t="s">
        <v>119</v>
      </c>
      <c r="F21" s="217"/>
    </row>
    <row r="22" spans="1:6" ht="24.75" customHeight="1">
      <c r="A22" s="203" t="s">
        <v>50</v>
      </c>
      <c r="B22" s="33" t="s">
        <v>15</v>
      </c>
      <c r="C22" s="50">
        <f>VLOOKUP($G$7,データ!$A$6:$AF$35,10,0)</f>
        <v>0</v>
      </c>
      <c r="D22" s="49" t="e">
        <f>データ!M71</f>
        <v>#N/A</v>
      </c>
      <c r="E22" s="199" t="e">
        <f>データ!D71</f>
        <v>#N/A</v>
      </c>
      <c r="F22" s="51" t="s">
        <v>106</v>
      </c>
    </row>
    <row r="23" spans="1:6" ht="24.75" customHeight="1">
      <c r="A23" s="203"/>
      <c r="B23" s="33" t="s">
        <v>16</v>
      </c>
      <c r="C23" s="50">
        <f>VLOOKUP($G$7,データ!$A$6:$AF$35,11,0)</f>
        <v>0</v>
      </c>
      <c r="D23" s="49" t="e">
        <f>データ!N71</f>
        <v>#N/A</v>
      </c>
      <c r="E23" s="200" t="e">
        <f>データ!D71</f>
        <v>#N/A</v>
      </c>
      <c r="F23" s="51" t="s">
        <v>106</v>
      </c>
    </row>
    <row r="24" spans="1:6" ht="24.75" customHeight="1">
      <c r="A24" s="53" t="s">
        <v>102</v>
      </c>
      <c r="B24" s="33" t="s">
        <v>49</v>
      </c>
      <c r="C24" s="54">
        <f>VLOOKUP($G$7,データ!$A$6:$AF$35,12,0)</f>
        <v>0</v>
      </c>
      <c r="D24" s="49" t="e">
        <f>データ!O71</f>
        <v>#N/A</v>
      </c>
      <c r="E24" s="200" t="e">
        <f>データ!E71</f>
        <v>#N/A</v>
      </c>
      <c r="F24" s="51" t="s">
        <v>103</v>
      </c>
    </row>
    <row r="25" spans="1:6" ht="24.75" customHeight="1">
      <c r="A25" s="203" t="s">
        <v>107</v>
      </c>
      <c r="B25" s="33" t="s">
        <v>31</v>
      </c>
      <c r="C25" s="55">
        <f>VLOOKUP($G$7,データ!$A$6:$AF$35,13,0)</f>
        <v>0</v>
      </c>
      <c r="D25" s="49" t="e">
        <f>データ!P71</f>
        <v>#N/A</v>
      </c>
      <c r="E25" s="200" t="e">
        <f>データ!F71</f>
        <v>#N/A</v>
      </c>
      <c r="F25" s="51" t="s">
        <v>104</v>
      </c>
    </row>
    <row r="26" spans="1:6" ht="24.75" customHeight="1">
      <c r="A26" s="203"/>
      <c r="B26" s="33" t="s">
        <v>32</v>
      </c>
      <c r="C26" s="55">
        <f>VLOOKUP($G$7,データ!$A$6:$AF$35,14,0)</f>
        <v>0</v>
      </c>
      <c r="D26" s="49" t="e">
        <f>データ!Q71</f>
        <v>#N/A</v>
      </c>
      <c r="E26" s="200" t="e">
        <f>データ!F71</f>
        <v>#N/A</v>
      </c>
      <c r="F26" s="51" t="s">
        <v>104</v>
      </c>
    </row>
    <row r="27" spans="1:6" ht="24.75" customHeight="1">
      <c r="A27" s="53" t="s">
        <v>51</v>
      </c>
      <c r="B27" s="33" t="s">
        <v>17</v>
      </c>
      <c r="C27" s="55">
        <f>VLOOKUP($G$7,データ!$A$6:$AF$35,15,0)</f>
        <v>0</v>
      </c>
      <c r="D27" s="49" t="e">
        <f>データ!R71</f>
        <v>#N/A</v>
      </c>
      <c r="E27" s="200" t="e">
        <f>データ!G71</f>
        <v>#N/A</v>
      </c>
      <c r="F27" s="51" t="s">
        <v>104</v>
      </c>
    </row>
    <row r="28" spans="1:6" ht="24.75" customHeight="1">
      <c r="A28" s="53" t="s">
        <v>122</v>
      </c>
      <c r="B28" s="33" t="s">
        <v>33</v>
      </c>
      <c r="C28" s="52">
        <f>VLOOKUP($G$7,データ!$A$6:$AF$35,16,0)</f>
        <v>0</v>
      </c>
      <c r="D28" s="49" t="e">
        <f>データ!S71</f>
        <v>#N/A</v>
      </c>
      <c r="E28" s="200" t="e">
        <f>データ!H71</f>
        <v>#N/A</v>
      </c>
      <c r="F28" s="51" t="s">
        <v>146</v>
      </c>
    </row>
    <row r="29" ht="21.75" customHeight="1" thickBot="1"/>
    <row r="30" spans="2:3" ht="21.75" customHeight="1">
      <c r="B30" s="56" t="s">
        <v>35</v>
      </c>
      <c r="C30" s="57"/>
    </row>
    <row r="31" spans="2:3" ht="21.75" customHeight="1">
      <c r="B31" s="58" t="s">
        <v>43</v>
      </c>
      <c r="C31" s="59" t="s">
        <v>47</v>
      </c>
    </row>
    <row r="32" spans="2:3" ht="21.75" customHeight="1">
      <c r="B32" s="58" t="s">
        <v>44</v>
      </c>
      <c r="C32" s="59" t="s">
        <v>46</v>
      </c>
    </row>
    <row r="33" spans="2:3" ht="21.75" customHeight="1">
      <c r="B33" s="58" t="s">
        <v>45</v>
      </c>
      <c r="C33" s="59" t="s">
        <v>48</v>
      </c>
    </row>
    <row r="34" spans="2:3" ht="21.75" customHeight="1" thickBot="1">
      <c r="B34" s="60"/>
      <c r="C34" s="61"/>
    </row>
    <row r="35" ht="21.75" customHeight="1">
      <c r="G35" s="79">
        <f>VLOOKUP($G$7,データ!$A$6:$AU$35,4,0)</f>
        <v>0</v>
      </c>
    </row>
    <row r="36" ht="21.75" customHeight="1">
      <c r="G36" s="26"/>
    </row>
    <row r="37" ht="21.75" customHeight="1"/>
    <row r="38" ht="21.75" customHeight="1"/>
    <row r="39" ht="21.75" customHeight="1"/>
    <row r="40" ht="21.75" customHeight="1"/>
  </sheetData>
  <sheetProtection sheet="1" objects="1" scenarios="1"/>
  <mergeCells count="4">
    <mergeCell ref="D12:D14"/>
    <mergeCell ref="A22:A23"/>
    <mergeCell ref="A25:A26"/>
    <mergeCell ref="E21:F21"/>
  </mergeCells>
  <printOptions/>
  <pageMargins left="0.91" right="0.58" top="0.984" bottom="0.984" header="0.512" footer="0.512"/>
  <pageSetup horizontalDpi="360" verticalDpi="360" orientation="portrait" paperSize="9" scale="96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70C0"/>
  </sheetPr>
  <dimension ref="A6:J63"/>
  <sheetViews>
    <sheetView workbookViewId="0" topLeftCell="A1">
      <selection activeCell="H10" sqref="H10"/>
    </sheetView>
  </sheetViews>
  <sheetFormatPr defaultColWidth="9.00390625" defaultRowHeight="13.5"/>
  <cols>
    <col min="1" max="1" width="15.125" style="137" bestFit="1" customWidth="1"/>
    <col min="2" max="2" width="13.625" style="138" bestFit="1" customWidth="1"/>
    <col min="3" max="3" width="13.625" style="138" customWidth="1"/>
    <col min="4" max="5" width="13.625" style="137" customWidth="1"/>
    <col min="6" max="6" width="12.375" style="137" bestFit="1" customWidth="1"/>
    <col min="7" max="7" width="12.75390625" style="137" customWidth="1"/>
    <col min="8" max="8" width="11.00390625" style="137" customWidth="1"/>
    <col min="9" max="9" width="10.75390625" style="137" customWidth="1"/>
    <col min="10" max="16384" width="9.00390625" style="137" customWidth="1"/>
  </cols>
  <sheetData>
    <row r="1" ht="12.75" customHeight="1"/>
    <row r="2" ht="11.25" customHeight="1"/>
    <row r="3" ht="9.75" customHeight="1"/>
    <row r="4" ht="8.25" customHeight="1"/>
    <row r="5" ht="7.5" customHeight="1"/>
    <row r="6" ht="15">
      <c r="G6" s="139" t="s">
        <v>105</v>
      </c>
    </row>
    <row r="7" ht="15">
      <c r="G7" s="175">
        <v>1</v>
      </c>
    </row>
    <row r="8" spans="1:10" ht="21.75" customHeight="1">
      <c r="A8" s="141" t="s">
        <v>0</v>
      </c>
      <c r="B8" s="218">
        <f>VLOOKUP($G$7,データ!$A$6:$AF$35,2,0)</f>
        <v>0</v>
      </c>
      <c r="C8" s="218"/>
      <c r="D8" s="141" t="s">
        <v>1</v>
      </c>
      <c r="E8" s="142">
        <f>VLOOKUP($G$7,データ!$A$6:$AF$35,3,0)</f>
        <v>0</v>
      </c>
      <c r="F8" s="143" t="s">
        <v>2</v>
      </c>
      <c r="G8" s="144">
        <f>IF(G35&gt;0,IF(G35=1,"男","女"),"")</f>
      </c>
      <c r="H8" s="140"/>
      <c r="I8" s="140"/>
      <c r="J8" s="140"/>
    </row>
    <row r="9" spans="1:7" ht="18.75" customHeight="1">
      <c r="A9" s="145" t="s">
        <v>3</v>
      </c>
      <c r="B9" s="146"/>
      <c r="C9" s="146"/>
      <c r="D9" s="145"/>
      <c r="E9" s="147"/>
      <c r="F9" s="147"/>
      <c r="G9" s="147"/>
    </row>
    <row r="10" spans="1:7" ht="14.25">
      <c r="A10" s="148"/>
      <c r="B10" s="149" t="s">
        <v>127</v>
      </c>
      <c r="C10" s="149" t="s">
        <v>128</v>
      </c>
      <c r="D10" s="149" t="s">
        <v>135</v>
      </c>
      <c r="E10" s="147"/>
      <c r="F10" s="147"/>
      <c r="G10" s="147"/>
    </row>
    <row r="11" spans="1:7" ht="14.25">
      <c r="A11" s="149" t="s">
        <v>23</v>
      </c>
      <c r="B11" s="198">
        <f>VLOOKUP($G$7,データ!$A$6:$AF$35,31,0)</f>
        <v>0</v>
      </c>
      <c r="C11" s="198">
        <f>VLOOKUP($G$7,データ!$A$6:$AF$35,32,0)</f>
        <v>0</v>
      </c>
      <c r="D11" s="219"/>
      <c r="E11" s="147"/>
      <c r="F11" s="147"/>
      <c r="G11" s="147"/>
    </row>
    <row r="12" spans="1:7" ht="18" thickBot="1">
      <c r="A12" s="149" t="s">
        <v>11</v>
      </c>
      <c r="B12" s="157">
        <f>VLOOKUP($G$7,データ!$A$6:$AF$35,5,0)</f>
        <v>0</v>
      </c>
      <c r="C12" s="157">
        <f>VLOOKUP($G$7,データ!$A$6:$AF$35,5,0)</f>
        <v>0</v>
      </c>
      <c r="D12" s="220"/>
      <c r="E12" s="147"/>
      <c r="F12" s="147"/>
      <c r="G12" s="143"/>
    </row>
    <row r="13" spans="1:7" ht="14.25">
      <c r="A13" s="149" t="s">
        <v>12</v>
      </c>
      <c r="B13" s="158">
        <f>VLOOKUP($G$7,データ!$A$6:$AF$35,6,0)</f>
        <v>0</v>
      </c>
      <c r="C13" s="150">
        <f>VLOOKUP($G$7,データ!$A$6:$AF$35,19,0)</f>
        <v>0</v>
      </c>
      <c r="D13" s="221"/>
      <c r="F13" s="169" t="s">
        <v>136</v>
      </c>
      <c r="G13" s="170"/>
    </row>
    <row r="14" spans="1:7" ht="14.25">
      <c r="A14" s="149" t="s">
        <v>9</v>
      </c>
      <c r="B14" s="159">
        <f>VLOOKUP($G$7,データ!$A$6:$AF$35,17,0)</f>
      </c>
      <c r="C14" s="151">
        <f>VLOOKUP($G$7,データ!$A$6:$AF$35,30,0)</f>
      </c>
      <c r="D14" s="225">
        <f>IF(C14="","",IF(AND(C14&gt;=18.5,C14&lt;25),"普通",IF(C14&lt;18.5,"やせぎみ",IF(C14&gt;=25,"肥満",""))))</f>
      </c>
      <c r="F14" s="171" t="s">
        <v>43</v>
      </c>
      <c r="G14" s="172" t="s">
        <v>137</v>
      </c>
    </row>
    <row r="15" spans="1:7" ht="14.25">
      <c r="A15" s="153" t="s">
        <v>6</v>
      </c>
      <c r="B15" s="160">
        <f>VLOOKUP($G$7,データ!$A$6:$AF$35,7,0)</f>
        <v>0</v>
      </c>
      <c r="C15" s="195">
        <f>VLOOKUP($G$7,データ!$A$6:$AF$35,20,0)</f>
        <v>0</v>
      </c>
      <c r="D15" s="226"/>
      <c r="F15" s="171" t="s">
        <v>44</v>
      </c>
      <c r="G15" s="172" t="s">
        <v>139</v>
      </c>
    </row>
    <row r="16" spans="1:7" ht="14.25">
      <c r="A16" s="149" t="s">
        <v>7</v>
      </c>
      <c r="B16" s="161">
        <f>VLOOKUP($G$7,データ!$A$6:$AF$35,8,0)</f>
        <v>0</v>
      </c>
      <c r="C16" s="196">
        <f>VLOOKUP($G$7,データ!$A$6:$AF$35,21,0)</f>
        <v>0</v>
      </c>
      <c r="D16" s="223" t="str">
        <f>IF(AND(C17="",C16=""),"",IF(C16&lt;90,"低血圧",IF(OR(C16&gt;140,C17&gt;90),"高血圧",IF(AND(C16&lt;=140,C17&lt;=90),"正常",""))))</f>
        <v>低血圧</v>
      </c>
      <c r="F16" s="171" t="s">
        <v>45</v>
      </c>
      <c r="G16" s="172" t="s">
        <v>138</v>
      </c>
    </row>
    <row r="17" spans="1:7" ht="15" thickBot="1">
      <c r="A17" s="149" t="s">
        <v>8</v>
      </c>
      <c r="B17" s="161">
        <f>VLOOKUP($G$7,データ!$A$6:$AF$35,9,0)</f>
        <v>0</v>
      </c>
      <c r="C17" s="161">
        <f>VLOOKUP($G$7,データ!$A$6:$AF$35,22,0)</f>
        <v>0</v>
      </c>
      <c r="D17" s="224"/>
      <c r="F17" s="173"/>
      <c r="G17" s="174"/>
    </row>
    <row r="18" spans="1:7" ht="10.5" customHeight="1">
      <c r="A18" s="147"/>
      <c r="B18" s="154"/>
      <c r="C18" s="154"/>
      <c r="D18" s="147"/>
      <c r="E18" s="147"/>
      <c r="F18" s="147"/>
      <c r="G18" s="147"/>
    </row>
    <row r="19" spans="1:7" ht="14.25">
      <c r="A19" s="145" t="s">
        <v>18</v>
      </c>
      <c r="B19" s="146"/>
      <c r="C19" s="146"/>
      <c r="D19" s="145"/>
      <c r="E19" s="145"/>
      <c r="F19" s="145"/>
      <c r="G19" s="147"/>
    </row>
    <row r="20" spans="1:7" ht="14.25">
      <c r="A20" s="149" t="s">
        <v>53</v>
      </c>
      <c r="B20" s="149"/>
      <c r="C20" s="149" t="s">
        <v>127</v>
      </c>
      <c r="D20" s="149" t="s">
        <v>128</v>
      </c>
      <c r="E20" s="149" t="s">
        <v>135</v>
      </c>
      <c r="F20" s="149" t="s">
        <v>129</v>
      </c>
      <c r="G20" s="147"/>
    </row>
    <row r="21" spans="1:7" ht="14.25">
      <c r="A21" s="222" t="s">
        <v>50</v>
      </c>
      <c r="B21" s="148" t="s">
        <v>15</v>
      </c>
      <c r="C21" s="162">
        <f>VLOOKUP($G$7,データ!$A$6:$AF$35,10,0)</f>
        <v>0</v>
      </c>
      <c r="D21" s="162">
        <f>VLOOKUP($G$7,データ!$A$6:$AF$35,23,0)</f>
        <v>0</v>
      </c>
      <c r="E21" s="152">
        <f>IF(D21&gt;0,IF(D21&gt;C21,"◎",IF(D21=C21,"○",IF(D21&lt;C21,"△",""))),"")</f>
      </c>
      <c r="F21" s="162" t="e">
        <f>データ!D71</f>
        <v>#N/A</v>
      </c>
      <c r="G21" s="147"/>
    </row>
    <row r="22" spans="1:7" ht="14.25">
      <c r="A22" s="222"/>
      <c r="B22" s="148" t="s">
        <v>16</v>
      </c>
      <c r="C22" s="162">
        <f>VLOOKUP($G$7,データ!$A$6:$AF$35,11,0)</f>
        <v>0</v>
      </c>
      <c r="D22" s="162">
        <f>VLOOKUP($G$7,データ!$A$6:$AF$35,24,0)</f>
        <v>0</v>
      </c>
      <c r="E22" s="152">
        <f aca="true" t="shared" si="0" ref="E22:E27">IF(D22&gt;0,IF(D22&gt;C22,"◎",IF(D22=C22,"○",IF(D22&lt;C22,"△",""))),"")</f>
      </c>
      <c r="F22" s="161" t="e">
        <f>データ!D71</f>
        <v>#N/A</v>
      </c>
      <c r="G22" s="147"/>
    </row>
    <row r="23" spans="1:7" ht="14.25">
      <c r="A23" s="155" t="s">
        <v>130</v>
      </c>
      <c r="B23" s="148" t="s">
        <v>49</v>
      </c>
      <c r="C23" s="163">
        <f>VLOOKUP($G$7,データ!$A$6:$AF$35,12,0)</f>
        <v>0</v>
      </c>
      <c r="D23" s="163">
        <f>VLOOKUP($G$7,データ!$A$6:$AF$35,25,0)</f>
        <v>0</v>
      </c>
      <c r="E23" s="152">
        <f t="shared" si="0"/>
      </c>
      <c r="F23" s="161" t="e">
        <f>データ!E71</f>
        <v>#N/A</v>
      </c>
      <c r="G23" s="147"/>
    </row>
    <row r="24" spans="1:7" ht="14.25">
      <c r="A24" s="222" t="s">
        <v>131</v>
      </c>
      <c r="B24" s="148" t="s">
        <v>31</v>
      </c>
      <c r="C24" s="164">
        <f>VLOOKUP($G$7,データ!$A$6:$AF$35,13,0)</f>
        <v>0</v>
      </c>
      <c r="D24" s="164">
        <f>VLOOKUP($G$7,データ!$A$6:$AF$35,26,0)</f>
        <v>0</v>
      </c>
      <c r="E24" s="152">
        <f t="shared" si="0"/>
      </c>
      <c r="F24" s="161" t="e">
        <f>データ!F71</f>
        <v>#N/A</v>
      </c>
      <c r="G24" s="147"/>
    </row>
    <row r="25" spans="1:7" ht="14.25">
      <c r="A25" s="222"/>
      <c r="B25" s="148" t="s">
        <v>32</v>
      </c>
      <c r="C25" s="164">
        <f>VLOOKUP($G$7,データ!$A$6:$AF$35,14,0)</f>
        <v>0</v>
      </c>
      <c r="D25" s="164">
        <f>VLOOKUP($G$7,データ!$A$6:$AF$35,27,0)</f>
        <v>0</v>
      </c>
      <c r="E25" s="152">
        <f t="shared" si="0"/>
      </c>
      <c r="F25" s="161" t="e">
        <f>データ!F71</f>
        <v>#N/A</v>
      </c>
      <c r="G25" s="147"/>
    </row>
    <row r="26" spans="1:7" ht="14.25">
      <c r="A26" s="155" t="s">
        <v>51</v>
      </c>
      <c r="B26" s="148" t="s">
        <v>17</v>
      </c>
      <c r="C26" s="164">
        <f>VLOOKUP($G$7,データ!$A$6:$AF$35,15,0)</f>
        <v>0</v>
      </c>
      <c r="D26" s="164">
        <f>VLOOKUP($G$7,データ!$A$6:$AF$35,28,0)</f>
        <v>0</v>
      </c>
      <c r="E26" s="152">
        <f>IF(D26&gt;0,IF(D26&lt;C26,"◎",IF(D26=C26,"○",IF(D26&gt;C26,"△",""))),"")</f>
      </c>
      <c r="F26" s="161" t="e">
        <f>データ!G71</f>
        <v>#N/A</v>
      </c>
      <c r="G26" s="147"/>
    </row>
    <row r="27" spans="1:7" ht="14.25">
      <c r="A27" s="155" t="s">
        <v>132</v>
      </c>
      <c r="B27" s="148" t="s">
        <v>33</v>
      </c>
      <c r="C27" s="165">
        <f>VLOOKUP($G$7,データ!$A$6:$AF$35,16,0)</f>
        <v>0</v>
      </c>
      <c r="D27" s="165">
        <f>VLOOKUP($G$7,データ!$A$6:$AF$35,29,0)</f>
        <v>0</v>
      </c>
      <c r="E27" s="152">
        <f t="shared" si="0"/>
      </c>
      <c r="F27" s="161" t="e">
        <f>データ!H71</f>
        <v>#N/A</v>
      </c>
      <c r="G27" s="156"/>
    </row>
    <row r="28" spans="1:7" ht="14.25">
      <c r="A28" s="147"/>
      <c r="B28" s="154"/>
      <c r="C28" s="154"/>
      <c r="D28" s="147"/>
      <c r="E28" s="147"/>
      <c r="F28" s="147"/>
      <c r="G28" s="147"/>
    </row>
    <row r="29" spans="1:7" ht="14.25">
      <c r="A29" s="147"/>
      <c r="B29" s="154"/>
      <c r="C29" s="154"/>
      <c r="D29" s="147"/>
      <c r="E29" s="147"/>
      <c r="F29" s="147"/>
      <c r="G29" s="147"/>
    </row>
    <row r="30" spans="1:7" ht="14.25">
      <c r="A30" s="147"/>
      <c r="B30" s="154"/>
      <c r="C30" s="154"/>
      <c r="D30" s="147"/>
      <c r="E30" s="147"/>
      <c r="F30" s="147"/>
      <c r="G30" s="147"/>
    </row>
    <row r="31" spans="1:7" ht="14.25">
      <c r="A31" s="147"/>
      <c r="B31" s="154"/>
      <c r="C31" s="154"/>
      <c r="D31" s="147"/>
      <c r="E31" s="147"/>
      <c r="F31" s="147"/>
      <c r="G31" s="147"/>
    </row>
    <row r="32" spans="1:7" ht="14.25">
      <c r="A32" s="147"/>
      <c r="B32" s="154"/>
      <c r="C32" s="154"/>
      <c r="D32" s="147"/>
      <c r="E32" s="147"/>
      <c r="F32" s="147"/>
      <c r="G32" s="147"/>
    </row>
    <row r="33" spans="1:7" ht="14.25">
      <c r="A33" s="147"/>
      <c r="B33" s="154"/>
      <c r="C33" s="154"/>
      <c r="D33" s="147"/>
      <c r="E33" s="147"/>
      <c r="F33" s="147"/>
      <c r="G33" s="147"/>
    </row>
    <row r="34" spans="1:7" ht="14.25">
      <c r="A34" s="147"/>
      <c r="B34" s="154"/>
      <c r="C34" s="154"/>
      <c r="D34" s="147"/>
      <c r="E34" s="147"/>
      <c r="F34" s="147"/>
      <c r="G34" s="147"/>
    </row>
    <row r="35" spans="1:7" ht="14.25">
      <c r="A35" s="147"/>
      <c r="B35" s="154"/>
      <c r="C35" s="154"/>
      <c r="D35" s="147"/>
      <c r="E35" s="147"/>
      <c r="F35" s="147"/>
      <c r="G35" s="156">
        <f>VLOOKUP($G$7,データ!$A$6:$AD$35,4,0)</f>
        <v>0</v>
      </c>
    </row>
    <row r="36" spans="1:7" ht="14.25">
      <c r="A36" s="147"/>
      <c r="B36" s="154"/>
      <c r="C36" s="154"/>
      <c r="D36" s="147"/>
      <c r="E36" s="147"/>
      <c r="F36" s="147"/>
      <c r="G36" s="147"/>
    </row>
    <row r="37" spans="1:7" ht="14.25">
      <c r="A37" s="147"/>
      <c r="B37" s="154"/>
      <c r="C37" s="154"/>
      <c r="D37" s="147"/>
      <c r="E37" s="147"/>
      <c r="F37" s="147"/>
      <c r="G37" s="147"/>
    </row>
    <row r="38" spans="1:7" ht="14.25">
      <c r="A38" s="147"/>
      <c r="B38" s="154"/>
      <c r="C38" s="154"/>
      <c r="D38" s="147"/>
      <c r="E38" s="147"/>
      <c r="F38" s="147"/>
      <c r="G38" s="156"/>
    </row>
    <row r="39" spans="1:7" ht="14.25">
      <c r="A39" s="147"/>
      <c r="B39" s="154"/>
      <c r="C39" s="154"/>
      <c r="D39" s="147"/>
      <c r="E39" s="147"/>
      <c r="F39" s="147"/>
      <c r="G39" s="147"/>
    </row>
    <row r="40" spans="1:7" ht="14.25">
      <c r="A40" s="147"/>
      <c r="B40" s="154"/>
      <c r="C40" s="154"/>
      <c r="D40" s="147"/>
      <c r="E40" s="147"/>
      <c r="F40" s="147"/>
      <c r="G40" s="147"/>
    </row>
    <row r="41" spans="1:7" ht="14.25">
      <c r="A41" s="147"/>
      <c r="B41" s="154"/>
      <c r="C41" s="154"/>
      <c r="D41" s="147"/>
      <c r="E41" s="147"/>
      <c r="F41" s="147"/>
      <c r="G41" s="147"/>
    </row>
    <row r="42" spans="1:7" ht="14.25">
      <c r="A42" s="147"/>
      <c r="B42" s="154"/>
      <c r="C42" s="154"/>
      <c r="D42" s="147"/>
      <c r="E42" s="147"/>
      <c r="F42" s="147"/>
      <c r="G42" s="147"/>
    </row>
    <row r="43" spans="1:7" ht="14.25">
      <c r="A43" s="147"/>
      <c r="B43" s="154"/>
      <c r="C43" s="154"/>
      <c r="D43" s="147"/>
      <c r="E43" s="147"/>
      <c r="F43" s="147"/>
      <c r="G43" s="147"/>
    </row>
    <row r="44" spans="1:7" ht="14.25">
      <c r="A44" s="147"/>
      <c r="B44" s="154"/>
      <c r="C44" s="154"/>
      <c r="D44" s="147"/>
      <c r="E44" s="147"/>
      <c r="F44" s="147"/>
      <c r="G44" s="147"/>
    </row>
    <row r="45" spans="1:7" ht="14.25">
      <c r="A45" s="147"/>
      <c r="B45" s="154"/>
      <c r="C45" s="154"/>
      <c r="D45" s="147"/>
      <c r="E45" s="147"/>
      <c r="F45" s="147"/>
      <c r="G45" s="147"/>
    </row>
    <row r="46" spans="1:7" ht="14.25">
      <c r="A46" s="147"/>
      <c r="B46" s="154"/>
      <c r="C46" s="154"/>
      <c r="D46" s="147"/>
      <c r="E46" s="147"/>
      <c r="F46" s="147"/>
      <c r="G46" s="147"/>
    </row>
    <row r="47" spans="1:7" ht="14.25">
      <c r="A47" s="147"/>
      <c r="B47" s="154"/>
      <c r="C47" s="154"/>
      <c r="D47" s="147"/>
      <c r="E47" s="147"/>
      <c r="F47" s="147"/>
      <c r="G47" s="147"/>
    </row>
    <row r="48" spans="1:7" ht="14.25">
      <c r="A48" s="147"/>
      <c r="B48" s="154"/>
      <c r="C48" s="154"/>
      <c r="D48" s="147"/>
      <c r="E48" s="147"/>
      <c r="F48" s="147"/>
      <c r="G48" s="147"/>
    </row>
    <row r="49" spans="1:7" ht="14.25">
      <c r="A49" s="147"/>
      <c r="B49" s="154"/>
      <c r="C49" s="154"/>
      <c r="D49" s="147"/>
      <c r="E49" s="147"/>
      <c r="F49" s="147"/>
      <c r="G49" s="147"/>
    </row>
    <row r="50" spans="1:7" ht="14.25">
      <c r="A50" s="147"/>
      <c r="B50" s="154"/>
      <c r="C50" s="154"/>
      <c r="D50" s="147"/>
      <c r="E50" s="147"/>
      <c r="F50" s="147"/>
      <c r="G50" s="147"/>
    </row>
    <row r="51" spans="1:7" ht="14.25">
      <c r="A51" s="147"/>
      <c r="B51" s="154"/>
      <c r="C51" s="154"/>
      <c r="D51" s="147"/>
      <c r="E51" s="147"/>
      <c r="F51" s="147"/>
      <c r="G51" s="147"/>
    </row>
    <row r="52" spans="1:7" ht="15">
      <c r="A52" s="147"/>
      <c r="B52" s="154"/>
      <c r="C52" s="154"/>
      <c r="D52" s="147"/>
      <c r="E52" s="147"/>
      <c r="F52" s="147"/>
      <c r="G52" s="147"/>
    </row>
    <row r="53" spans="1:7" ht="15">
      <c r="A53" s="147"/>
      <c r="B53" s="154"/>
      <c r="C53" s="154"/>
      <c r="D53" s="147"/>
      <c r="E53" s="147"/>
      <c r="F53" s="147"/>
      <c r="G53" s="147"/>
    </row>
    <row r="54" spans="1:7" ht="15">
      <c r="A54" s="147"/>
      <c r="B54" s="154"/>
      <c r="C54" s="154"/>
      <c r="D54" s="147"/>
      <c r="E54" s="147"/>
      <c r="F54" s="147"/>
      <c r="G54" s="147"/>
    </row>
    <row r="55" spans="1:7" ht="15">
      <c r="A55" s="147"/>
      <c r="B55" s="154"/>
      <c r="C55" s="154"/>
      <c r="D55" s="147"/>
      <c r="E55" s="147"/>
      <c r="F55" s="147"/>
      <c r="G55" s="147"/>
    </row>
    <row r="56" spans="1:7" ht="15">
      <c r="A56" s="147"/>
      <c r="B56" s="154"/>
      <c r="C56" s="154"/>
      <c r="D56" s="147"/>
      <c r="E56" s="147"/>
      <c r="F56" s="147"/>
      <c r="G56" s="147"/>
    </row>
    <row r="57" spans="1:7" ht="15">
      <c r="A57" s="147"/>
      <c r="B57" s="154"/>
      <c r="C57" s="154"/>
      <c r="D57" s="147"/>
      <c r="E57" s="147"/>
      <c r="F57" s="147"/>
      <c r="G57" s="147"/>
    </row>
    <row r="58" spans="1:7" ht="15">
      <c r="A58" s="147"/>
      <c r="B58" s="154"/>
      <c r="C58" s="154"/>
      <c r="D58" s="147"/>
      <c r="E58" s="147"/>
      <c r="F58" s="147"/>
      <c r="G58" s="147"/>
    </row>
    <row r="59" spans="1:7" ht="15">
      <c r="A59" s="147"/>
      <c r="B59" s="154"/>
      <c r="C59" s="154"/>
      <c r="D59" s="147"/>
      <c r="E59" s="147"/>
      <c r="F59" s="147"/>
      <c r="G59" s="147"/>
    </row>
    <row r="60" spans="1:7" ht="15">
      <c r="A60" s="147"/>
      <c r="B60" s="154"/>
      <c r="C60" s="154"/>
      <c r="D60" s="147"/>
      <c r="E60" s="147"/>
      <c r="F60" s="147"/>
      <c r="G60" s="147"/>
    </row>
    <row r="61" spans="1:7" ht="15">
      <c r="A61" s="147"/>
      <c r="B61" s="154"/>
      <c r="C61" s="154"/>
      <c r="D61" s="147"/>
      <c r="E61" s="147"/>
      <c r="F61" s="147"/>
      <c r="G61" s="147"/>
    </row>
    <row r="62" spans="1:7" ht="15">
      <c r="A62" s="147"/>
      <c r="B62" s="154"/>
      <c r="C62" s="154"/>
      <c r="D62" s="147"/>
      <c r="E62" s="147"/>
      <c r="F62" s="147"/>
      <c r="G62" s="147"/>
    </row>
    <row r="63" spans="1:7" ht="14.25">
      <c r="A63" s="147"/>
      <c r="B63" s="154"/>
      <c r="C63" s="154"/>
      <c r="D63" s="147"/>
      <c r="E63" s="147"/>
      <c r="F63" s="147"/>
      <c r="G63" s="147"/>
    </row>
  </sheetData>
  <sheetProtection sheet="1" objects="1" scenarios="1"/>
  <mergeCells count="6">
    <mergeCell ref="B8:C8"/>
    <mergeCell ref="D11:D13"/>
    <mergeCell ref="A21:A22"/>
    <mergeCell ref="A24:A25"/>
    <mergeCell ref="D16:D17"/>
    <mergeCell ref="D14:D15"/>
  </mergeCells>
  <printOptions/>
  <pageMargins left="0.7086614173228346" right="0.7086614173228346" top="0.5511811023622047" bottom="0.5511811023622047" header="0.31496062992125984" footer="0.31496062992125984"/>
  <pageSetup horizontalDpi="360" verticalDpi="360" orientation="portrait" paperSize="9" scale="94" r:id="rId2"/>
  <colBreaks count="1" manualBreakCount="1">
    <brk id="7" max="65535" man="1"/>
  </colBreaks>
  <ignoredErrors>
    <ignoredError sqref="D16 E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簡易型体力測定ソフトVer2.0</dc:title>
  <dc:subject/>
  <dc:creator>宮城県リハビリテーション支援センター</dc:creator>
  <cp:keywords/>
  <dc:description>問い合わせ　宮城県リハビリテーション支援センター　リハビリテーション支援班☎　022-286-4395</dc:description>
  <cp:lastModifiedBy>武者　恵</cp:lastModifiedBy>
  <cp:lastPrinted>2014-09-02T02:24:19Z</cp:lastPrinted>
  <dcterms:created xsi:type="dcterms:W3CDTF">2002-04-10T05:20:38Z</dcterms:created>
  <dcterms:modified xsi:type="dcterms:W3CDTF">2014-09-02T02:45:08Z</dcterms:modified>
  <cp:category/>
  <cp:version/>
  <cp:contentType/>
  <cp:contentStatus/>
</cp:coreProperties>
</file>